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bvoe365.sharepoint.com/sites/BVOE-Dokumente/Bibliotheken und Bibliothekarisches/2 Statistik/Statistikabschluss/2025/Kennzahlen/"/>
    </mc:Choice>
  </mc:AlternateContent>
  <xr:revisionPtr revIDLastSave="2" documentId="8_{002185C9-4D0B-4C39-B666-3C7DC1D1B790}" xr6:coauthVersionLast="47" xr6:coauthVersionMax="47" xr10:uidLastSave="{5681ABEB-3DF0-44B6-8BB3-852A8A0AE5CC}"/>
  <bookViews>
    <workbookView xWindow="28680" yWindow="-120" windowWidth="29040" windowHeight="15720" firstSheet="1" activeTab="1" xr2:uid="{00000000-000D-0000-FFFF-FFFF00000000}"/>
  </bookViews>
  <sheets>
    <sheet name="Grunddaten" sheetId="6" state="hidden" r:id="rId1"/>
    <sheet name="Rechenblatt" sheetId="5" r:id="rId2"/>
    <sheet name="Leistungszahlen-Tabelle" sheetId="7" r:id="rId3"/>
  </sheets>
  <definedNames>
    <definedName name="KAT">Grunddaten!$32:$32</definedName>
    <definedName name="KATALT">Grunddaten!$32:$32</definedName>
    <definedName name="Kategorie">Grunddaten!$1:$1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5" l="1"/>
  <c r="F23" i="5"/>
  <c r="F19" i="5"/>
  <c r="F16" i="5"/>
  <c r="F26" i="5"/>
  <c r="F22" i="5"/>
  <c r="F13" i="5"/>
  <c r="F11" i="5"/>
  <c r="F20" i="5"/>
  <c r="F9" i="5"/>
  <c r="C30" i="5"/>
  <c r="B3" i="7"/>
  <c r="B30" i="5"/>
  <c r="F4" i="5"/>
  <c r="F28" i="5"/>
  <c r="F24" i="5"/>
  <c r="F21" i="5"/>
  <c r="F17" i="5"/>
  <c r="F12" i="5"/>
  <c r="F8" i="5"/>
  <c r="F7" i="5"/>
  <c r="F6" i="5"/>
  <c r="F5" i="5"/>
  <c r="F1" i="7"/>
  <c r="F23" i="7"/>
  <c r="F29" i="7"/>
  <c r="F12" i="7"/>
  <c r="F18" i="7"/>
  <c r="F24" i="7"/>
  <c r="F30" i="7"/>
  <c r="F13" i="7"/>
  <c r="F19" i="7"/>
  <c r="F25" i="7"/>
  <c r="F6" i="7"/>
  <c r="F8" i="7"/>
  <c r="F14" i="7"/>
  <c r="F20" i="7"/>
  <c r="F26" i="7"/>
  <c r="F7" i="7"/>
  <c r="F10" i="7"/>
  <c r="F16" i="7"/>
  <c r="F28" i="7"/>
  <c r="L30" i="7"/>
  <c r="M30" i="7" s="1"/>
  <c r="L26" i="7"/>
  <c r="M26" i="7" s="1"/>
  <c r="L22" i="7"/>
  <c r="M22" i="7" s="1"/>
  <c r="L18" i="7"/>
  <c r="M18" i="7" s="1"/>
  <c r="L14" i="7"/>
  <c r="M14" i="7" s="1"/>
  <c r="L10" i="7"/>
  <c r="M10" i="7" s="1"/>
  <c r="L6" i="7"/>
  <c r="M6" i="7" s="1"/>
  <c r="J28" i="7"/>
  <c r="J24" i="7"/>
  <c r="J20" i="7"/>
  <c r="J16" i="7"/>
  <c r="J12" i="7"/>
  <c r="J8" i="7"/>
  <c r="H30" i="7"/>
  <c r="G30" i="7" s="1"/>
  <c r="H26" i="7"/>
  <c r="G26" i="7" s="1"/>
  <c r="H22" i="7"/>
  <c r="H18" i="7"/>
  <c r="H14" i="7"/>
  <c r="H10" i="7"/>
  <c r="H6" i="7"/>
  <c r="D30" i="7"/>
  <c r="D26" i="7"/>
  <c r="D22" i="7"/>
  <c r="D18" i="7"/>
  <c r="D14" i="7"/>
  <c r="D10" i="7"/>
  <c r="D6" i="7"/>
  <c r="D20" i="7"/>
  <c r="D12" i="7"/>
  <c r="L27" i="7"/>
  <c r="M27" i="7" s="1"/>
  <c r="L19" i="7"/>
  <c r="M19" i="7" s="1"/>
  <c r="L11" i="7"/>
  <c r="M11" i="7" s="1"/>
  <c r="J29" i="7"/>
  <c r="J21" i="7"/>
  <c r="J13" i="7"/>
  <c r="J5" i="7"/>
  <c r="H23" i="7"/>
  <c r="G23" i="7" s="1"/>
  <c r="H15" i="7"/>
  <c r="H7" i="7"/>
  <c r="D23" i="7"/>
  <c r="D15" i="7"/>
  <c r="C15" i="7" s="1"/>
  <c r="D7" i="7"/>
  <c r="L29" i="7"/>
  <c r="M29" i="7" s="1"/>
  <c r="L25" i="7"/>
  <c r="M25" i="7" s="1"/>
  <c r="L21" i="7"/>
  <c r="L17" i="7"/>
  <c r="M17" i="7" s="1"/>
  <c r="L13" i="7"/>
  <c r="M13" i="7" s="1"/>
  <c r="L9" i="7"/>
  <c r="M9" i="7" s="1"/>
  <c r="L5" i="7"/>
  <c r="J27" i="7"/>
  <c r="K27" i="7" s="1"/>
  <c r="J23" i="7"/>
  <c r="I23" i="7" s="1"/>
  <c r="J19" i="7"/>
  <c r="K19" i="7" s="1"/>
  <c r="J15" i="7"/>
  <c r="J11" i="7"/>
  <c r="K11" i="7" s="1"/>
  <c r="J7" i="7"/>
  <c r="I7" i="7" s="1"/>
  <c r="H29" i="7"/>
  <c r="H25" i="7"/>
  <c r="G25" i="7" s="1"/>
  <c r="H21" i="7"/>
  <c r="H17" i="7"/>
  <c r="H13" i="7"/>
  <c r="H9" i="7"/>
  <c r="H5" i="7"/>
  <c r="D29" i="7"/>
  <c r="D25" i="7"/>
  <c r="D21" i="7"/>
  <c r="D17" i="7"/>
  <c r="D13" i="7"/>
  <c r="D9" i="7"/>
  <c r="D5" i="7"/>
  <c r="L28" i="7"/>
  <c r="L24" i="7"/>
  <c r="L20" i="7"/>
  <c r="L16" i="7"/>
  <c r="L12" i="7"/>
  <c r="L8" i="7"/>
  <c r="J30" i="7"/>
  <c r="J26" i="7"/>
  <c r="J6" i="7"/>
  <c r="H28" i="7"/>
  <c r="H24" i="7"/>
  <c r="H20" i="7"/>
  <c r="H16" i="7"/>
  <c r="H12" i="7"/>
  <c r="H8" i="7"/>
  <c r="D28" i="7"/>
  <c r="D24" i="7"/>
  <c r="F15" i="5"/>
  <c r="F14" i="5"/>
  <c r="F29" i="5"/>
  <c r="F25" i="5"/>
  <c r="F18" i="5"/>
  <c r="F30" i="5"/>
  <c r="F10" i="5"/>
  <c r="G10" i="7"/>
  <c r="E30" i="7"/>
  <c r="C30" i="7"/>
  <c r="E14" i="7"/>
  <c r="C14" i="7"/>
  <c r="G14" i="7" l="1"/>
  <c r="K29" i="7"/>
  <c r="G18" i="7"/>
  <c r="G7" i="7"/>
  <c r="G6" i="7"/>
  <c r="K13" i="7"/>
  <c r="F27" i="7"/>
  <c r="F17" i="7"/>
  <c r="J22" i="7"/>
  <c r="J18" i="7"/>
  <c r="J14" i="7"/>
  <c r="J10" i="7"/>
  <c r="F11" i="7"/>
  <c r="F22" i="7"/>
  <c r="G22" i="7" s="1"/>
  <c r="C22" i="7"/>
  <c r="E22" i="7"/>
  <c r="C20" i="7"/>
  <c r="E20" i="7"/>
  <c r="F9" i="7"/>
  <c r="F15" i="7"/>
  <c r="F5" i="7"/>
  <c r="D16" i="7"/>
  <c r="D8" i="7"/>
  <c r="L23" i="7"/>
  <c r="L15" i="7"/>
  <c r="L7" i="7"/>
  <c r="J25" i="7"/>
  <c r="J17" i="7"/>
  <c r="J9" i="7"/>
  <c r="H27" i="7"/>
  <c r="H19" i="7"/>
  <c r="H11" i="7"/>
  <c r="D27" i="7"/>
  <c r="D19" i="7"/>
  <c r="D11" i="7"/>
  <c r="K3" i="7"/>
  <c r="B2" i="7"/>
  <c r="F21" i="7"/>
  <c r="E26" i="7"/>
  <c r="C26" i="7"/>
  <c r="C18" i="7"/>
  <c r="E18" i="7"/>
  <c r="C10" i="7"/>
  <c r="E10" i="7"/>
  <c r="C6" i="7"/>
  <c r="E6" i="7"/>
  <c r="E12" i="7"/>
  <c r="C12" i="7"/>
  <c r="E23" i="7"/>
  <c r="C23" i="7"/>
  <c r="M5" i="7"/>
  <c r="K5" i="7"/>
  <c r="G29" i="7"/>
  <c r="I29" i="7"/>
  <c r="C25" i="7"/>
  <c r="E25" i="7"/>
  <c r="C17" i="7"/>
  <c r="C13" i="7"/>
  <c r="E13" i="7"/>
  <c r="C9" i="7"/>
  <c r="C5" i="7"/>
  <c r="M16" i="7"/>
  <c r="K16" i="7"/>
  <c r="M8" i="7"/>
  <c r="K8" i="7"/>
  <c r="K30" i="7"/>
  <c r="I30" i="7"/>
  <c r="K14" i="7"/>
  <c r="I14" i="7"/>
  <c r="C24" i="7"/>
  <c r="E24" i="7"/>
  <c r="K21" i="7"/>
  <c r="M21" i="7"/>
  <c r="C21" i="7"/>
  <c r="K12" i="7"/>
  <c r="M12" i="7"/>
  <c r="E7" i="7"/>
  <c r="C7" i="7"/>
  <c r="I15" i="7"/>
  <c r="I21" i="7"/>
  <c r="I13" i="7"/>
  <c r="G13" i="7"/>
  <c r="I5" i="7"/>
  <c r="E29" i="7"/>
  <c r="C29" i="7"/>
  <c r="K28" i="7"/>
  <c r="M28" i="7"/>
  <c r="K24" i="7"/>
  <c r="M24" i="7"/>
  <c r="K20" i="7"/>
  <c r="M20" i="7"/>
  <c r="K26" i="7"/>
  <c r="I26" i="7"/>
  <c r="K6" i="7"/>
  <c r="I6" i="7"/>
  <c r="G28" i="7"/>
  <c r="I28" i="7"/>
  <c r="I24" i="7"/>
  <c r="G24" i="7"/>
  <c r="I20" i="7"/>
  <c r="G20" i="7"/>
  <c r="I16" i="7"/>
  <c r="G16" i="7"/>
  <c r="I12" i="7"/>
  <c r="G12" i="7"/>
  <c r="I8" i="7"/>
  <c r="G8" i="7"/>
  <c r="E28" i="7"/>
  <c r="C28" i="7"/>
  <c r="G17" i="7" l="1"/>
  <c r="E17" i="7"/>
  <c r="K22" i="7"/>
  <c r="I22" i="7"/>
  <c r="K18" i="7"/>
  <c r="I18" i="7"/>
  <c r="K10" i="7"/>
  <c r="I10" i="7"/>
  <c r="C8" i="7"/>
  <c r="E8" i="7"/>
  <c r="K23" i="7"/>
  <c r="M23" i="7"/>
  <c r="E27" i="7"/>
  <c r="C27" i="7"/>
  <c r="E19" i="7"/>
  <c r="C19" i="7"/>
  <c r="C11" i="7"/>
  <c r="E11" i="7"/>
  <c r="E9" i="7"/>
  <c r="G9" i="7"/>
  <c r="G15" i="7"/>
  <c r="E15" i="7"/>
  <c r="E5" i="7"/>
  <c r="G5" i="7"/>
  <c r="E16" i="7"/>
  <c r="C16" i="7"/>
  <c r="M15" i="7"/>
  <c r="K15" i="7"/>
  <c r="M7" i="7"/>
  <c r="K7" i="7"/>
  <c r="K25" i="7"/>
  <c r="I25" i="7"/>
  <c r="I17" i="7"/>
  <c r="K17" i="7"/>
  <c r="K9" i="7"/>
  <c r="I9" i="7"/>
  <c r="G27" i="7"/>
  <c r="I27" i="7"/>
  <c r="I19" i="7"/>
  <c r="G19" i="7"/>
  <c r="G11" i="7"/>
  <c r="I11" i="7"/>
  <c r="E21" i="7"/>
  <c r="G21" i="7"/>
</calcChain>
</file>

<file path=xl/sharedStrings.xml><?xml version="1.0" encoding="utf-8"?>
<sst xmlns="http://schemas.openxmlformats.org/spreadsheetml/2006/main" count="147" uniqueCount="87">
  <si>
    <t>Nutzung</t>
  </si>
  <si>
    <t>Besuche pro Öffnungsstunde</t>
  </si>
  <si>
    <t>Besuche pro EW</t>
  </si>
  <si>
    <t>Anteil der BenutzerInnen an den EW in %</t>
  </si>
  <si>
    <t>Veranstaltungen pro 1000 EW</t>
  </si>
  <si>
    <t>Jahresöffnungsstunden pro 1000 EW</t>
  </si>
  <si>
    <t>Angebote</t>
  </si>
  <si>
    <t>Ausgaben pro Besuch in EUR</t>
  </si>
  <si>
    <t>Ausgaben pro EW in EUR</t>
  </si>
  <si>
    <t>MitarbeiterInnenstunden pro Öffnungsstunde</t>
  </si>
  <si>
    <t>Jahresöffnungsstunden pro VZÄ</t>
  </si>
  <si>
    <t>Entlehnungen pro VZÄ</t>
  </si>
  <si>
    <t>VZÄ (40 Std. Personalstellen) pro 1000 EW</t>
  </si>
  <si>
    <t>Büchereifläche: m2 pro 1000 EW</t>
  </si>
  <si>
    <t>Ressourcen</t>
  </si>
  <si>
    <t>Kennzahl</t>
  </si>
  <si>
    <t>Es erreichen diese Kennzahlen:</t>
  </si>
  <si>
    <t>Besuche pro BenutzerIn</t>
  </si>
  <si>
    <t>BVÖ-Rechenblatt</t>
  </si>
  <si>
    <t>Gemeinde</t>
  </si>
  <si>
    <t>Einzugsgebiet</t>
  </si>
  <si>
    <t>Anzahl</t>
  </si>
  <si>
    <t>Grunddaten</t>
  </si>
  <si>
    <t>Öffnungsstunden pro Woche</t>
  </si>
  <si>
    <t>Gesamtfläche</t>
  </si>
  <si>
    <t>Publikumsfläche</t>
  </si>
  <si>
    <t>Arbeitsstunden pro Woche</t>
  </si>
  <si>
    <t>Bibliotheksdaten</t>
  </si>
  <si>
    <t>Aus- und Fortbildungsstd./Jahr</t>
  </si>
  <si>
    <t>P</t>
  </si>
  <si>
    <t>M</t>
  </si>
  <si>
    <t>Besuche</t>
  </si>
  <si>
    <t>B</t>
  </si>
  <si>
    <t>Summe der Veranstaltungen</t>
  </si>
  <si>
    <t>V</t>
  </si>
  <si>
    <t>Eigeneinnahmen</t>
  </si>
  <si>
    <t>Erwerbungsausgaben</t>
  </si>
  <si>
    <t>Ausgaben</t>
  </si>
  <si>
    <t>Budget</t>
  </si>
  <si>
    <t>Kategorie 3</t>
  </si>
  <si>
    <t>Kategorie 2</t>
  </si>
  <si>
    <t>Bitte treffen Sie eine Auswahl:</t>
  </si>
  <si>
    <t xml:space="preserve">BVÖ-Kennzahlentabelle - </t>
  </si>
  <si>
    <t>Anzahl Bibliotheken</t>
  </si>
  <si>
    <t>Zahlen aus</t>
  </si>
  <si>
    <t>Bibliotheken</t>
  </si>
  <si>
    <t>Öffentliche Büchereien in Gemeinden  von 2.501 bis 5.000  EinwohnerInnen (Hauptversorgende Bibliotheken ohne Schul- und Sonderbüchereien)</t>
  </si>
  <si>
    <t>Öffentliche Büchereien in Gemeinden von 5.001 bis 10.000  EinwohnerInnen (Hauptversorgende Bibliotheken ohne Schul- und Sonderbüchereien)</t>
  </si>
  <si>
    <t>Öffentliche Büchereien in Gemeinden von 10.001 bis 30.000  EinwohnerInnen (Hauptversorgende Bibliotheken ohne Schul- und Sonderbüchereien)</t>
  </si>
  <si>
    <t>Öffentliche Büchereien in Gemeinden  ab 30.001  EinwohnerInnen (Hauptversorgende Bibliotheken ohne Schul- und Sonderbüchereien)</t>
  </si>
  <si>
    <t>EinwohnerInnen-Zahl der Gemeinde</t>
  </si>
  <si>
    <t>EinwohnerInnen-Zahl des Einzugsgebiets</t>
  </si>
  <si>
    <r>
      <t>Welche EW-Zahl soll verwendt werden?</t>
    </r>
    <r>
      <rPr>
        <sz val="10"/>
        <color theme="1"/>
        <rFont val="Calibri"/>
        <family val="2"/>
        <scheme val="minor"/>
      </rPr>
      <t xml:space="preserve"> (bitte auswählen)</t>
    </r>
  </si>
  <si>
    <t xml:space="preserve">Öffnungszeiten </t>
  </si>
  <si>
    <t>Tragen Sie zuerst Ihre Ausgangszahlen in die gelb hinterlegten Felder ein. Die Kennzahlen errechnen sich automatisch daraus.
Wählen Sie im grünen Feld aus, welche EinwohnerInnenzahl für die Kennzahlen und die Kategoriezuordnung herangezogen werden soll. Klicken Sie dazu ins grüne Feld - es erscheint ein Dropdown-Menü.
Die errechneten Kennzahlen übertragen sich automatisch in die Leistungszahlentabelle.</t>
  </si>
  <si>
    <t>Öffentliche Büchereien in Gemeinden  bis 1.500  EinwohnerInnen (Hauptversorgende Bibliotheken ohne Schul- und Sonderbüchereien)</t>
  </si>
  <si>
    <t>Kategorie 1</t>
  </si>
  <si>
    <t>Kategorie 5b-6</t>
  </si>
  <si>
    <t>Kategorie 5a</t>
  </si>
  <si>
    <t>Kategorie 4</t>
  </si>
  <si>
    <t>Öffentliche Büchereien in Gemeinden von 1.501 bis 2.500  EinwohnerInnen (Hauptversorgende Bibliotheken ohne Schul- und Sonderbüchereien)</t>
  </si>
  <si>
    <t>Summe physische Medien</t>
  </si>
  <si>
    <t>Summe physische Entlehnungen</t>
  </si>
  <si>
    <t>Summe Förderungen</t>
  </si>
  <si>
    <t>Fortbildungsstunden pro VZÄ</t>
  </si>
  <si>
    <t>Physische Medien pro EW</t>
  </si>
  <si>
    <t>Physische Medien pro BenutzerIn</t>
  </si>
  <si>
    <t>Erneuerungsquote (physischer Medien) in %</t>
  </si>
  <si>
    <t>Bibliotheksbesuche pro Öffnungsstunde</t>
  </si>
  <si>
    <t>Publikumsfläche: m2 pro 1000 EW</t>
  </si>
  <si>
    <t>Erwerbungsausgaben pro EW in EUR</t>
  </si>
  <si>
    <t>Erwerbungsausg. pro Entlehnung in EUR</t>
  </si>
  <si>
    <t>Anteil der erwirtschafteten und Fremdmittel an Ausgaben in %</t>
  </si>
  <si>
    <t>Benutzerarbeitsplätze pro 1000 EW</t>
  </si>
  <si>
    <t>Physische Entlehnungen pro EW</t>
  </si>
  <si>
    <t>Physische Entlehnungen pro BenutzerIn</t>
  </si>
  <si>
    <t>Umsatz der physischen Medien</t>
  </si>
  <si>
    <t>BenutzerInnen-Arbeitsplätze ohne PC</t>
  </si>
  <si>
    <t>BenutzerInnen-Arbeitsplätze mit PC</t>
  </si>
  <si>
    <t>Bibliotheksbesuche</t>
  </si>
  <si>
    <t>Veranstaltungsbesuche</t>
  </si>
  <si>
    <t>Anteil erwirtschafteten und Fremdmittel an Ausg. in %</t>
  </si>
  <si>
    <t>BenutzerInnen (physischer Medien)</t>
  </si>
  <si>
    <t>Medienzugang (physischer Medien)</t>
  </si>
  <si>
    <t>Veranstaltungsbesuche pro 1000 EW</t>
  </si>
  <si>
    <t>Kategorie 5b-7</t>
  </si>
  <si>
    <t>Vergleichsdaten:
Statistik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</si>
</sst>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
    <numFmt numFmtId="167" formatCode="0.0"/>
  </numFmts>
  <fonts count="14" x14ac:knownFonts="1">
    <font>
      <sz val="11"/>
      <color theme="1"/>
      <name val="Calibri"/>
      <family val="2"/>
      <scheme val="minor"/>
    </font>
    <font>
      <sz val="10"/>
      <name val="MS Sans Serif"/>
      <family val="2"/>
    </font>
    <font>
      <b/>
      <sz val="10"/>
      <name val="MS Sans Serif"/>
      <family val="2"/>
    </font>
    <font>
      <sz val="10"/>
      <name val="MS Sans Serif"/>
      <family val="2"/>
    </font>
    <font>
      <b/>
      <sz val="18"/>
      <name val="Times New Roman"/>
      <family val="1"/>
    </font>
    <font>
      <sz val="10"/>
      <name val="Arial"/>
      <family val="2"/>
    </font>
    <font>
      <b/>
      <sz val="10"/>
      <name val="Times New Roman"/>
      <family val="1"/>
    </font>
    <font>
      <sz val="11"/>
      <color theme="1"/>
      <name val="Calibri"/>
      <family val="2"/>
      <scheme val="minor"/>
    </font>
    <font>
      <b/>
      <sz val="10"/>
      <color theme="0"/>
      <name val="MS Sans Serif"/>
      <family val="2"/>
    </font>
    <font>
      <sz val="10"/>
      <color theme="0"/>
      <name val="MS Sans Serif"/>
      <family val="2"/>
    </font>
    <font>
      <sz val="11"/>
      <name val="Calibri"/>
      <family val="2"/>
      <scheme val="minor"/>
    </font>
    <font>
      <sz val="8.5"/>
      <name val="MS Sans Serif"/>
      <family val="2"/>
    </font>
    <font>
      <sz val="10"/>
      <color theme="1"/>
      <name val="Calibri"/>
      <family val="2"/>
      <scheme val="minor"/>
    </font>
    <font>
      <b/>
      <sz val="9.1999999999999993"/>
      <name val="MS Sans Serif"/>
      <family val="2"/>
    </font>
  </fonts>
  <fills count="9">
    <fill>
      <patternFill patternType="none"/>
    </fill>
    <fill>
      <patternFill patternType="gray125"/>
    </fill>
    <fill>
      <patternFill patternType="solid">
        <fgColor rgb="FFB70004"/>
        <bgColor indexed="64"/>
      </patternFill>
    </fill>
    <fill>
      <patternFill patternType="solid">
        <fgColor rgb="FFB70004"/>
        <bgColor indexed="15"/>
      </patternFill>
    </fill>
    <fill>
      <patternFill patternType="solid">
        <fgColor theme="0"/>
        <bgColor indexed="64"/>
      </patternFill>
    </fill>
    <fill>
      <patternFill patternType="solid">
        <fgColor rgb="FFDBDCDE"/>
        <bgColor indexed="64"/>
      </patternFill>
    </fill>
    <fill>
      <patternFill patternType="solid">
        <fgColor theme="0"/>
        <bgColor rgb="FFF0F0F0"/>
      </patternFill>
    </fill>
    <fill>
      <patternFill patternType="solid">
        <fgColor rgb="FFFFFF00"/>
        <bgColor indexed="64"/>
      </patternFill>
    </fill>
    <fill>
      <patternFill patternType="solid">
        <fgColor rgb="FF92D050"/>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bottom style="medium">
        <color theme="0"/>
      </bottom>
      <diagonal/>
    </border>
    <border>
      <left/>
      <right/>
      <top style="medium">
        <color theme="0"/>
      </top>
      <bottom/>
      <diagonal/>
    </border>
    <border>
      <left/>
      <right style="thin">
        <color indexed="64"/>
      </right>
      <top style="medium">
        <color theme="0"/>
      </top>
      <bottom/>
      <diagonal/>
    </border>
    <border>
      <left/>
      <right style="thin">
        <color indexed="64"/>
      </right>
      <top/>
      <bottom style="medium">
        <color theme="0"/>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s>
  <cellStyleXfs count="7">
    <xf numFmtId="0" fontId="0" fillId="0" borderId="0"/>
    <xf numFmtId="16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1" fillId="0" borderId="0"/>
    <xf numFmtId="0" fontId="5" fillId="0" borderId="0"/>
  </cellStyleXfs>
  <cellXfs count="112">
    <xf numFmtId="0" fontId="0" fillId="0" borderId="0" xfId="0"/>
    <xf numFmtId="0" fontId="1" fillId="0" borderId="0" xfId="5"/>
    <xf numFmtId="165" fontId="2" fillId="0" borderId="1" xfId="5" applyNumberFormat="1" applyFont="1" applyBorder="1" applyAlignment="1">
      <alignment horizontal="center"/>
    </xf>
    <xf numFmtId="0" fontId="8" fillId="2" borderId="0" xfId="5" applyFont="1" applyFill="1" applyAlignment="1">
      <alignment horizontal="center" vertical="center"/>
    </xf>
    <xf numFmtId="0" fontId="9" fillId="2" borderId="0" xfId="5" applyFont="1" applyFill="1" applyAlignment="1">
      <alignment vertical="center"/>
    </xf>
    <xf numFmtId="9" fontId="8" fillId="3" borderId="0" xfId="5" quotePrefix="1" applyNumberFormat="1" applyFont="1" applyFill="1" applyAlignment="1">
      <alignment horizontal="center" vertical="center"/>
    </xf>
    <xf numFmtId="0" fontId="8" fillId="2" borderId="0" xfId="5" applyFont="1" applyFill="1" applyAlignment="1">
      <alignment vertical="center"/>
    </xf>
    <xf numFmtId="0" fontId="8" fillId="2" borderId="3" xfId="5" applyFont="1" applyFill="1" applyBorder="1" applyAlignment="1">
      <alignment horizontal="center" vertical="center"/>
    </xf>
    <xf numFmtId="0" fontId="9" fillId="2" borderId="3" xfId="5" applyFont="1" applyFill="1" applyBorder="1" applyAlignment="1">
      <alignment vertical="center"/>
    </xf>
    <xf numFmtId="165" fontId="2" fillId="5" borderId="5" xfId="5" applyNumberFormat="1" applyFont="1" applyFill="1" applyBorder="1" applyAlignment="1">
      <alignment horizontal="left"/>
    </xf>
    <xf numFmtId="0" fontId="2" fillId="5" borderId="4" xfId="5" applyFont="1" applyFill="1" applyBorder="1"/>
    <xf numFmtId="0" fontId="2" fillId="5" borderId="6" xfId="5" applyFont="1" applyFill="1" applyBorder="1"/>
    <xf numFmtId="0" fontId="2" fillId="5" borderId="5" xfId="5" applyFont="1" applyFill="1" applyBorder="1"/>
    <xf numFmtId="0" fontId="4" fillId="6" borderId="0" xfId="5" applyFont="1" applyFill="1" applyAlignment="1">
      <alignment horizontal="center" vertical="center"/>
    </xf>
    <xf numFmtId="0" fontId="1" fillId="4" borderId="0" xfId="5" applyFill="1" applyAlignment="1">
      <alignment vertical="center"/>
    </xf>
    <xf numFmtId="0" fontId="1" fillId="0" borderId="0" xfId="5" applyAlignment="1">
      <alignment vertical="center"/>
    </xf>
    <xf numFmtId="0" fontId="1" fillId="0" borderId="8" xfId="5" applyBorder="1" applyAlignment="1">
      <alignment vertical="center"/>
    </xf>
    <xf numFmtId="0" fontId="1" fillId="0" borderId="9" xfId="5" applyBorder="1" applyAlignment="1">
      <alignment vertical="center"/>
    </xf>
    <xf numFmtId="0" fontId="2" fillId="0" borderId="9" xfId="5" applyFont="1" applyBorder="1" applyAlignment="1">
      <alignment vertical="center"/>
    </xf>
    <xf numFmtId="0" fontId="1" fillId="0" borderId="10" xfId="5" applyBorder="1" applyAlignment="1">
      <alignment vertical="center"/>
    </xf>
    <xf numFmtId="4" fontId="2" fillId="5" borderId="4" xfId="5" applyNumberFormat="1" applyFont="1" applyFill="1" applyBorder="1" applyAlignment="1">
      <alignment horizontal="right"/>
    </xf>
    <xf numFmtId="0" fontId="0" fillId="0" borderId="15" xfId="0" applyBorder="1"/>
    <xf numFmtId="0" fontId="8" fillId="4" borderId="0" xfId="5" applyFont="1" applyFill="1" applyAlignment="1">
      <alignment vertical="center" textRotation="90"/>
    </xf>
    <xf numFmtId="0" fontId="8" fillId="4" borderId="16" xfId="5" applyFont="1" applyFill="1" applyBorder="1" applyAlignment="1">
      <alignment vertical="center" textRotation="90"/>
    </xf>
    <xf numFmtId="0" fontId="8" fillId="4" borderId="17" xfId="5" applyFont="1" applyFill="1" applyBorder="1" applyAlignment="1">
      <alignment vertical="center" textRotation="90"/>
    </xf>
    <xf numFmtId="0" fontId="0" fillId="5" borderId="11" xfId="0" applyFill="1" applyBorder="1"/>
    <xf numFmtId="0" fontId="0" fillId="5" borderId="13" xfId="0" applyFill="1" applyBorder="1"/>
    <xf numFmtId="0" fontId="0" fillId="5" borderId="12" xfId="0" applyFill="1" applyBorder="1"/>
    <xf numFmtId="0" fontId="4" fillId="6" borderId="0" xfId="5" applyFont="1" applyFill="1" applyAlignment="1">
      <alignment vertical="center"/>
    </xf>
    <xf numFmtId="0" fontId="1" fillId="0" borderId="9" xfId="5" applyBorder="1" applyAlignment="1">
      <alignment horizontal="center" vertical="center"/>
    </xf>
    <xf numFmtId="166" fontId="7" fillId="0" borderId="0" xfId="3" applyNumberFormat="1" applyFont="1"/>
    <xf numFmtId="10" fontId="7" fillId="0" borderId="0" xfId="3" applyNumberFormat="1" applyFont="1"/>
    <xf numFmtId="2" fontId="0" fillId="0" borderId="0" xfId="0" applyNumberFormat="1"/>
    <xf numFmtId="167" fontId="0" fillId="0" borderId="0" xfId="0" applyNumberFormat="1"/>
    <xf numFmtId="2" fontId="7" fillId="0" borderId="0" xfId="1" applyNumberFormat="1" applyFont="1"/>
    <xf numFmtId="3" fontId="2" fillId="0" borderId="1" xfId="5" applyNumberFormat="1" applyFont="1" applyBorder="1" applyAlignment="1">
      <alignment horizontal="center"/>
    </xf>
    <xf numFmtId="165" fontId="2" fillId="0" borderId="2" xfId="5" applyNumberFormat="1" applyFont="1" applyBorder="1" applyAlignment="1">
      <alignment horizontal="center"/>
    </xf>
    <xf numFmtId="3" fontId="2" fillId="5" borderId="4" xfId="5" applyNumberFormat="1" applyFont="1" applyFill="1" applyBorder="1" applyAlignment="1">
      <alignment horizontal="right"/>
    </xf>
    <xf numFmtId="0" fontId="0" fillId="7" borderId="11" xfId="0" applyFill="1" applyBorder="1"/>
    <xf numFmtId="0" fontId="0" fillId="7" borderId="13" xfId="0" applyFill="1" applyBorder="1"/>
    <xf numFmtId="0" fontId="0" fillId="7" borderId="12" xfId="0" applyFill="1" applyBorder="1"/>
    <xf numFmtId="0" fontId="6" fillId="6" borderId="0" xfId="5" applyFont="1" applyFill="1" applyAlignment="1">
      <alignment horizontal="center" vertical="center" wrapText="1"/>
    </xf>
    <xf numFmtId="0" fontId="0" fillId="8" borderId="0" xfId="0" applyFill="1"/>
    <xf numFmtId="0" fontId="11" fillId="0" borderId="3" xfId="5" applyFont="1" applyBorder="1" applyAlignment="1">
      <alignment vertical="center"/>
    </xf>
    <xf numFmtId="0" fontId="0" fillId="0" borderId="21" xfId="0" applyBorder="1"/>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2" fontId="0" fillId="0" borderId="22" xfId="0" applyNumberFormat="1" applyBorder="1"/>
    <xf numFmtId="2" fontId="0" fillId="0" borderId="3" xfId="0" applyNumberFormat="1" applyBorder="1"/>
    <xf numFmtId="2" fontId="7" fillId="0" borderId="0" xfId="1" applyNumberFormat="1" applyFont="1" applyBorder="1"/>
    <xf numFmtId="2" fontId="7" fillId="0" borderId="3" xfId="1" applyNumberFormat="1" applyFont="1" applyBorder="1"/>
    <xf numFmtId="167" fontId="0" fillId="0" borderId="3" xfId="0" applyNumberFormat="1" applyBorder="1"/>
    <xf numFmtId="167" fontId="0" fillId="0" borderId="22" xfId="0" applyNumberFormat="1" applyBorder="1"/>
    <xf numFmtId="2" fontId="0" fillId="0" borderId="23" xfId="0" applyNumberFormat="1" applyBorder="1"/>
    <xf numFmtId="2" fontId="0" fillId="0" borderId="24" xfId="0" applyNumberFormat="1" applyBorder="1"/>
    <xf numFmtId="2" fontId="0" fillId="0" borderId="25" xfId="0" applyNumberFormat="1" applyBorder="1"/>
    <xf numFmtId="0" fontId="8" fillId="2" borderId="14" xfId="5" applyFont="1" applyFill="1" applyBorder="1" applyAlignment="1">
      <alignment horizontal="center" vertical="center" textRotation="90"/>
    </xf>
    <xf numFmtId="0" fontId="8" fillId="2" borderId="18" xfId="5" applyFont="1" applyFill="1" applyBorder="1" applyAlignment="1">
      <alignment vertical="center" textRotation="90"/>
    </xf>
    <xf numFmtId="0" fontId="8" fillId="2" borderId="19" xfId="5" applyFont="1" applyFill="1" applyBorder="1" applyAlignment="1">
      <alignment vertical="center" textRotation="90"/>
    </xf>
    <xf numFmtId="4" fontId="2" fillId="5" borderId="5" xfId="5" applyNumberFormat="1" applyFont="1" applyFill="1" applyBorder="1" applyAlignment="1">
      <alignment horizontal="right"/>
    </xf>
    <xf numFmtId="4" fontId="2" fillId="5" borderId="6" xfId="5" applyNumberFormat="1" applyFont="1" applyFill="1" applyBorder="1" applyAlignment="1">
      <alignment horizontal="right"/>
    </xf>
    <xf numFmtId="167" fontId="2" fillId="0" borderId="1" xfId="5" applyNumberFormat="1" applyFont="1" applyBorder="1" applyAlignment="1">
      <alignment horizontal="center"/>
    </xf>
    <xf numFmtId="165" fontId="1" fillId="5" borderId="7" xfId="5" applyNumberFormat="1" applyFill="1" applyBorder="1" applyAlignment="1">
      <alignment horizontal="center"/>
    </xf>
    <xf numFmtId="167" fontId="2" fillId="0" borderId="4" xfId="5" applyNumberFormat="1" applyFont="1" applyBorder="1" applyAlignment="1">
      <alignment horizontal="center"/>
    </xf>
    <xf numFmtId="3" fontId="1" fillId="5" borderId="7" xfId="5" applyNumberFormat="1" applyFill="1" applyBorder="1" applyAlignment="1">
      <alignment horizontal="center" shrinkToFit="1"/>
    </xf>
    <xf numFmtId="3" fontId="1" fillId="5" borderId="7" xfId="5" applyNumberFormat="1" applyFill="1" applyBorder="1" applyAlignment="1">
      <alignment horizontal="center"/>
    </xf>
    <xf numFmtId="1" fontId="2" fillId="0" borderId="4" xfId="5" applyNumberFormat="1" applyFont="1" applyBorder="1" applyAlignment="1">
      <alignment horizontal="center"/>
    </xf>
    <xf numFmtId="1" fontId="1" fillId="5" borderId="7" xfId="3" applyNumberFormat="1" applyFont="1" applyFill="1" applyBorder="1" applyAlignment="1">
      <alignment horizontal="center"/>
    </xf>
    <xf numFmtId="1" fontId="2" fillId="0" borderId="1" xfId="5" applyNumberFormat="1" applyFont="1" applyBorder="1" applyAlignment="1">
      <alignment horizontal="center"/>
    </xf>
    <xf numFmtId="0" fontId="2" fillId="0" borderId="1" xfId="5" applyFont="1" applyBorder="1" applyAlignment="1">
      <alignment horizontal="center"/>
    </xf>
    <xf numFmtId="167" fontId="2" fillId="0" borderId="26" xfId="5" applyNumberFormat="1" applyFont="1" applyBorder="1" applyAlignment="1">
      <alignment horizontal="center"/>
    </xf>
    <xf numFmtId="167" fontId="1" fillId="5" borderId="20" xfId="3" applyNumberFormat="1" applyFont="1" applyFill="1" applyBorder="1" applyAlignment="1">
      <alignment horizontal="center"/>
    </xf>
    <xf numFmtId="167" fontId="2" fillId="0" borderId="6" xfId="5" applyNumberFormat="1" applyFont="1" applyBorder="1" applyAlignment="1">
      <alignment horizontal="center"/>
    </xf>
    <xf numFmtId="167" fontId="2" fillId="0" borderId="2" xfId="5" applyNumberFormat="1" applyFont="1" applyBorder="1" applyAlignment="1">
      <alignment horizontal="center"/>
    </xf>
    <xf numFmtId="167" fontId="2" fillId="0" borderId="5" xfId="5" applyNumberFormat="1" applyFont="1" applyBorder="1" applyAlignment="1">
      <alignment horizontal="center"/>
    </xf>
    <xf numFmtId="167" fontId="1" fillId="5" borderId="7" xfId="3" applyNumberFormat="1" applyFont="1" applyFill="1" applyBorder="1" applyAlignment="1">
      <alignment horizontal="center"/>
    </xf>
    <xf numFmtId="165" fontId="1" fillId="5" borderId="20" xfId="5" applyNumberFormat="1" applyFill="1" applyBorder="1" applyAlignment="1">
      <alignment horizontal="center"/>
    </xf>
    <xf numFmtId="165" fontId="2" fillId="0" borderId="26" xfId="5" applyNumberFormat="1" applyFont="1" applyBorder="1" applyAlignment="1">
      <alignment horizontal="center"/>
    </xf>
    <xf numFmtId="2" fontId="2" fillId="0" borderId="26" xfId="5" applyNumberFormat="1" applyFont="1" applyBorder="1" applyAlignment="1">
      <alignment horizontal="center"/>
    </xf>
    <xf numFmtId="4" fontId="1" fillId="5" borderId="20" xfId="5" applyNumberFormat="1" applyFill="1" applyBorder="1" applyAlignment="1">
      <alignment horizontal="center"/>
    </xf>
    <xf numFmtId="4" fontId="2" fillId="0" borderId="26" xfId="5" applyNumberFormat="1" applyFont="1" applyBorder="1" applyAlignment="1">
      <alignment horizontal="center"/>
    </xf>
    <xf numFmtId="2" fontId="2" fillId="0" borderId="6" xfId="5" applyNumberFormat="1" applyFont="1" applyBorder="1" applyAlignment="1">
      <alignment horizontal="center"/>
    </xf>
    <xf numFmtId="0" fontId="13" fillId="5" borderId="6" xfId="5" applyFont="1" applyFill="1" applyBorder="1"/>
    <xf numFmtId="167" fontId="2" fillId="5" borderId="6" xfId="3" applyNumberFormat="1" applyFont="1" applyFill="1" applyBorder="1" applyAlignment="1">
      <alignment horizontal="right"/>
    </xf>
    <xf numFmtId="2" fontId="2" fillId="5" borderId="4" xfId="3" applyNumberFormat="1" applyFont="1" applyFill="1" applyBorder="1" applyAlignment="1">
      <alignment horizontal="right"/>
    </xf>
    <xf numFmtId="2" fontId="2" fillId="5" borderId="5" xfId="3" applyNumberFormat="1" applyFont="1" applyFill="1" applyBorder="1" applyAlignment="1">
      <alignment horizontal="right"/>
    </xf>
    <xf numFmtId="2" fontId="2" fillId="0" borderId="1" xfId="5" applyNumberFormat="1" applyFont="1" applyBorder="1" applyAlignment="1">
      <alignment horizontal="center"/>
    </xf>
    <xf numFmtId="2" fontId="1" fillId="5" borderId="7" xfId="5" applyNumberFormat="1" applyFill="1" applyBorder="1" applyAlignment="1">
      <alignment horizontal="center"/>
    </xf>
    <xf numFmtId="2" fontId="2" fillId="0" borderId="4" xfId="5" applyNumberFormat="1" applyFont="1" applyBorder="1" applyAlignment="1">
      <alignment horizontal="center"/>
    </xf>
    <xf numFmtId="2" fontId="7" fillId="0" borderId="22" xfId="3" applyNumberFormat="1" applyFont="1" applyBorder="1"/>
    <xf numFmtId="2" fontId="7" fillId="0" borderId="0" xfId="3" applyNumberFormat="1" applyFont="1" applyBorder="1"/>
    <xf numFmtId="2" fontId="7" fillId="0" borderId="3" xfId="3" applyNumberFormat="1" applyFont="1" applyBorder="1"/>
    <xf numFmtId="0" fontId="0" fillId="0" borderId="0" xfId="0" applyAlignment="1">
      <alignment horizontal="center"/>
    </xf>
    <xf numFmtId="0" fontId="8" fillId="2" borderId="18" xfId="5" applyFont="1" applyFill="1" applyBorder="1" applyAlignment="1">
      <alignment horizontal="center" vertical="center" textRotation="90"/>
    </xf>
    <xf numFmtId="0" fontId="8" fillId="2" borderId="19" xfId="5" applyFont="1" applyFill="1" applyBorder="1" applyAlignment="1">
      <alignment horizontal="center" vertical="center" textRotation="90"/>
    </xf>
    <xf numFmtId="0" fontId="8" fillId="2" borderId="14" xfId="5" applyFont="1" applyFill="1" applyBorder="1" applyAlignment="1">
      <alignment horizontal="center" vertical="center" textRotation="90"/>
    </xf>
    <xf numFmtId="0" fontId="6" fillId="6" borderId="0" xfId="5"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6" borderId="0" xfId="5" applyFont="1" applyFill="1" applyAlignment="1">
      <alignment horizontal="center" vertical="center"/>
    </xf>
    <xf numFmtId="0" fontId="1" fillId="0" borderId="0" xfId="5" applyAlignment="1">
      <alignment horizontal="center" vertical="center"/>
    </xf>
    <xf numFmtId="0" fontId="8" fillId="2" borderId="0" xfId="5" applyFont="1" applyFill="1" applyAlignment="1">
      <alignment horizontal="center" vertical="center" textRotation="90"/>
    </xf>
    <xf numFmtId="0" fontId="8" fillId="2" borderId="17" xfId="5" applyFont="1" applyFill="1" applyBorder="1" applyAlignment="1">
      <alignment horizontal="center" vertical="center" textRotation="90"/>
    </xf>
    <xf numFmtId="0" fontId="8" fillId="2" borderId="16" xfId="5" applyFont="1" applyFill="1" applyBorder="1" applyAlignment="1">
      <alignment horizontal="center" vertical="center" textRotation="90"/>
    </xf>
    <xf numFmtId="0" fontId="10" fillId="6" borderId="0" xfId="5" applyFont="1" applyFill="1" applyAlignment="1">
      <alignment horizontal="left" vertical="top" wrapText="1"/>
    </xf>
    <xf numFmtId="0" fontId="10" fillId="6" borderId="0" xfId="5" applyFont="1" applyFill="1" applyAlignment="1">
      <alignment horizontal="left" vertical="top"/>
    </xf>
    <xf numFmtId="0" fontId="4" fillId="6" borderId="0" xfId="5" applyFont="1" applyFill="1" applyAlignment="1">
      <alignment horizontal="right" vertical="center"/>
    </xf>
    <xf numFmtId="0" fontId="4" fillId="6" borderId="0" xfId="5" applyFont="1" applyFill="1" applyAlignment="1">
      <alignment horizontal="left" vertical="center"/>
    </xf>
    <xf numFmtId="0" fontId="1" fillId="6" borderId="0" xfId="5" applyFill="1" applyAlignment="1">
      <alignment horizontal="center" vertical="center"/>
    </xf>
    <xf numFmtId="0" fontId="3" fillId="6" borderId="0" xfId="5" applyFont="1" applyFill="1" applyAlignment="1">
      <alignment horizontal="center" vertical="center"/>
    </xf>
    <xf numFmtId="0" fontId="1" fillId="0" borderId="9" xfId="5" applyBorder="1" applyAlignment="1">
      <alignment horizontal="right" vertical="center"/>
    </xf>
  </cellXfs>
  <cellStyles count="7">
    <cellStyle name="Komma" xfId="1" builtinId="3"/>
    <cellStyle name="Komma 2" xfId="2" xr:uid="{00000000-0005-0000-0000-000001000000}"/>
    <cellStyle name="Prozent" xfId="3" builtinId="5"/>
    <cellStyle name="Prozent 2" xfId="4" xr:uid="{00000000-0005-0000-0000-000003000000}"/>
    <cellStyle name="Standard" xfId="0" builtinId="0"/>
    <cellStyle name="Standard 2" xfId="5" xr:uid="{00000000-0005-0000-0000-000005000000}"/>
    <cellStyle name="Standard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3"/>
  <sheetViews>
    <sheetView workbookViewId="0">
      <selection activeCell="AA3" sqref="AA3:AE28"/>
    </sheetView>
  </sheetViews>
  <sheetFormatPr baseColWidth="10" defaultRowHeight="14.4" x14ac:dyDescent="0.3"/>
  <cols>
    <col min="1" max="1" width="42.5546875" bestFit="1" customWidth="1"/>
    <col min="2" max="31" width="6" customWidth="1"/>
  </cols>
  <sheetData>
    <row r="1" spans="1:40" ht="15" thickBot="1" x14ac:dyDescent="0.35">
      <c r="A1" t="s">
        <v>41</v>
      </c>
      <c r="B1" s="93" t="s">
        <v>56</v>
      </c>
      <c r="C1" s="93"/>
      <c r="D1" s="93"/>
      <c r="E1" s="93"/>
      <c r="F1" s="93"/>
      <c r="G1" s="93" t="s">
        <v>40</v>
      </c>
      <c r="H1" s="93"/>
      <c r="I1" s="93"/>
      <c r="J1" s="93"/>
      <c r="K1" s="93"/>
      <c r="L1" s="93" t="s">
        <v>39</v>
      </c>
      <c r="M1" s="93"/>
      <c r="N1" s="93"/>
      <c r="O1" s="93"/>
      <c r="P1" s="93"/>
      <c r="Q1" s="93" t="s">
        <v>59</v>
      </c>
      <c r="R1" s="93"/>
      <c r="S1" s="93"/>
      <c r="T1" s="93"/>
      <c r="U1" s="93"/>
      <c r="V1" s="93" t="s">
        <v>58</v>
      </c>
      <c r="W1" s="93"/>
      <c r="X1" s="93"/>
      <c r="Y1" s="93"/>
      <c r="Z1" s="93"/>
      <c r="AA1" s="93" t="s">
        <v>57</v>
      </c>
      <c r="AB1" s="93"/>
      <c r="AC1" s="93"/>
      <c r="AD1" s="93"/>
      <c r="AE1" s="93"/>
    </row>
    <row r="2" spans="1:40" x14ac:dyDescent="0.3">
      <c r="B2" s="45">
        <v>5</v>
      </c>
      <c r="C2" s="46">
        <v>25</v>
      </c>
      <c r="D2" s="46">
        <v>50</v>
      </c>
      <c r="E2" s="46">
        <v>75</v>
      </c>
      <c r="F2" s="47">
        <v>95</v>
      </c>
      <c r="G2" s="45">
        <v>5</v>
      </c>
      <c r="H2" s="46">
        <v>25</v>
      </c>
      <c r="I2" s="46">
        <v>50</v>
      </c>
      <c r="J2" s="46">
        <v>75</v>
      </c>
      <c r="K2" s="47">
        <v>95</v>
      </c>
      <c r="L2" s="45">
        <v>5</v>
      </c>
      <c r="M2" s="46">
        <v>25</v>
      </c>
      <c r="N2" s="46">
        <v>50</v>
      </c>
      <c r="O2" s="46">
        <v>75</v>
      </c>
      <c r="P2" s="47">
        <v>95</v>
      </c>
      <c r="Q2" s="45">
        <v>5</v>
      </c>
      <c r="R2" s="46">
        <v>25</v>
      </c>
      <c r="S2" s="46">
        <v>50</v>
      </c>
      <c r="T2" s="46">
        <v>75</v>
      </c>
      <c r="U2" s="47">
        <v>95</v>
      </c>
      <c r="V2" s="45">
        <v>5</v>
      </c>
      <c r="W2" s="46">
        <v>25</v>
      </c>
      <c r="X2" s="46">
        <v>50</v>
      </c>
      <c r="Y2" s="46">
        <v>75</v>
      </c>
      <c r="Z2" s="47">
        <v>95</v>
      </c>
      <c r="AA2" s="45">
        <v>5</v>
      </c>
      <c r="AB2" s="46">
        <v>25</v>
      </c>
      <c r="AC2" s="46">
        <v>50</v>
      </c>
      <c r="AD2" s="46">
        <v>75</v>
      </c>
      <c r="AE2" s="47">
        <v>95</v>
      </c>
    </row>
    <row r="3" spans="1:40" x14ac:dyDescent="0.3">
      <c r="A3" t="s">
        <v>13</v>
      </c>
      <c r="B3" s="48">
        <v>148.26499999999996</v>
      </c>
      <c r="C3" s="32">
        <v>76.502499999999998</v>
      </c>
      <c r="D3" s="32">
        <v>56.14</v>
      </c>
      <c r="E3" s="32">
        <v>38.907499999999999</v>
      </c>
      <c r="F3" s="49">
        <v>20.695500000000003</v>
      </c>
      <c r="G3" s="48">
        <v>81.325000000000003</v>
      </c>
      <c r="H3" s="32">
        <v>46.135000000000005</v>
      </c>
      <c r="I3" s="32">
        <v>35.36</v>
      </c>
      <c r="J3" s="32">
        <v>22.725000000000001</v>
      </c>
      <c r="K3" s="49">
        <v>12.2225</v>
      </c>
      <c r="L3" s="48">
        <v>60.184499999999986</v>
      </c>
      <c r="M3" s="32">
        <v>34.484999999999999</v>
      </c>
      <c r="N3" s="32">
        <v>24.795000000000002</v>
      </c>
      <c r="O3" s="32">
        <v>17.765000000000001</v>
      </c>
      <c r="P3" s="49">
        <v>10.121500000000001</v>
      </c>
      <c r="Q3" s="48">
        <v>38.868000000000009</v>
      </c>
      <c r="R3" s="32">
        <v>26.39</v>
      </c>
      <c r="S3" s="32">
        <v>18.88</v>
      </c>
      <c r="T3" s="32">
        <v>13.05</v>
      </c>
      <c r="U3" s="49">
        <v>7.4620000000000006</v>
      </c>
      <c r="V3" s="48">
        <v>34.850499999999982</v>
      </c>
      <c r="W3" s="32">
        <v>24.572500000000002</v>
      </c>
      <c r="X3" s="32">
        <v>16.740000000000002</v>
      </c>
      <c r="Y3" s="32">
        <v>12.5525</v>
      </c>
      <c r="Z3" s="49">
        <v>5.5080000000000009</v>
      </c>
      <c r="AA3" s="48">
        <v>38.251999999999981</v>
      </c>
      <c r="AB3" s="32">
        <v>25.77</v>
      </c>
      <c r="AC3" s="32">
        <v>18.14</v>
      </c>
      <c r="AD3" s="32">
        <v>11.53</v>
      </c>
      <c r="AE3" s="49">
        <v>8.6920000000000002</v>
      </c>
      <c r="AI3" s="32"/>
      <c r="AJ3" s="32"/>
      <c r="AK3" s="32"/>
      <c r="AL3" s="32"/>
      <c r="AM3" s="32"/>
      <c r="AN3" s="32"/>
    </row>
    <row r="4" spans="1:40" x14ac:dyDescent="0.3">
      <c r="A4" t="s">
        <v>69</v>
      </c>
      <c r="B4" s="48">
        <v>138.04399999999995</v>
      </c>
      <c r="C4" s="32">
        <v>71.702500000000001</v>
      </c>
      <c r="D4" s="32">
        <v>50.89</v>
      </c>
      <c r="E4" s="32">
        <v>37.192499999999995</v>
      </c>
      <c r="F4" s="49">
        <v>19.144500000000001</v>
      </c>
      <c r="G4" s="48">
        <v>75.762500000000003</v>
      </c>
      <c r="H4" s="32">
        <v>43.6175</v>
      </c>
      <c r="I4" s="32">
        <v>32.875</v>
      </c>
      <c r="J4" s="32">
        <v>21.622499999999999</v>
      </c>
      <c r="K4" s="49">
        <v>11.32</v>
      </c>
      <c r="L4" s="48">
        <v>55.66749999999999</v>
      </c>
      <c r="M4" s="32">
        <v>31.782499999999999</v>
      </c>
      <c r="N4" s="32">
        <v>23.495000000000001</v>
      </c>
      <c r="O4" s="32">
        <v>16.41</v>
      </c>
      <c r="P4" s="49">
        <v>8.9270000000000014</v>
      </c>
      <c r="Q4" s="48">
        <v>35.692</v>
      </c>
      <c r="R4" s="32">
        <v>24.46</v>
      </c>
      <c r="S4" s="32">
        <v>17.52</v>
      </c>
      <c r="T4" s="32">
        <v>12.04</v>
      </c>
      <c r="U4" s="49">
        <v>7.3319999999999999</v>
      </c>
      <c r="V4" s="48">
        <v>31.904499999999995</v>
      </c>
      <c r="W4" s="32">
        <v>21.942499999999999</v>
      </c>
      <c r="X4" s="32">
        <v>15.11</v>
      </c>
      <c r="Y4" s="32">
        <v>11.13</v>
      </c>
      <c r="Z4" s="49">
        <v>5.5080000000000009</v>
      </c>
      <c r="AA4" s="48">
        <v>29.939999999999998</v>
      </c>
      <c r="AB4" s="32">
        <v>21.54</v>
      </c>
      <c r="AC4" s="32">
        <v>16.350000000000001</v>
      </c>
      <c r="AD4" s="32">
        <v>10.46</v>
      </c>
      <c r="AE4" s="49">
        <v>7.2219999999999995</v>
      </c>
      <c r="AI4" s="32"/>
      <c r="AJ4" s="32"/>
      <c r="AK4" s="32"/>
      <c r="AL4" s="32"/>
      <c r="AM4" s="32"/>
      <c r="AN4" s="32"/>
    </row>
    <row r="5" spans="1:40" x14ac:dyDescent="0.3">
      <c r="A5" t="s">
        <v>12</v>
      </c>
      <c r="B5" s="48">
        <v>0.87549999999999817</v>
      </c>
      <c r="C5" s="32">
        <v>0.38</v>
      </c>
      <c r="D5" s="32">
        <v>0.23</v>
      </c>
      <c r="E5" s="32">
        <v>0.14000000000000001</v>
      </c>
      <c r="F5" s="49">
        <v>0.06</v>
      </c>
      <c r="G5" s="48">
        <v>0.56000000000000005</v>
      </c>
      <c r="H5" s="32">
        <v>0.27</v>
      </c>
      <c r="I5" s="32">
        <v>0.17499999999999999</v>
      </c>
      <c r="J5" s="32">
        <v>0.09</v>
      </c>
      <c r="K5" s="49">
        <v>0.04</v>
      </c>
      <c r="L5" s="48">
        <v>0.4</v>
      </c>
      <c r="M5" s="32">
        <v>0.22750000000000001</v>
      </c>
      <c r="N5" s="32">
        <v>0.13</v>
      </c>
      <c r="O5" s="32">
        <v>0.08</v>
      </c>
      <c r="P5" s="49">
        <v>0.03</v>
      </c>
      <c r="Q5" s="48">
        <v>0.27400000000000008</v>
      </c>
      <c r="R5" s="32">
        <v>0.19</v>
      </c>
      <c r="S5" s="32">
        <v>0.13</v>
      </c>
      <c r="T5" s="32">
        <v>7.0000000000000007E-2</v>
      </c>
      <c r="U5" s="49">
        <v>0.02</v>
      </c>
      <c r="V5" s="48">
        <v>0.25349999999999995</v>
      </c>
      <c r="W5" s="32">
        <v>0.17</v>
      </c>
      <c r="X5" s="32">
        <v>0.12</v>
      </c>
      <c r="Y5" s="32">
        <v>0.09</v>
      </c>
      <c r="Z5" s="49">
        <v>0.04</v>
      </c>
      <c r="AA5" s="48">
        <v>0.18799999999999997</v>
      </c>
      <c r="AB5" s="32">
        <v>0.17</v>
      </c>
      <c r="AC5" s="32">
        <v>0.13</v>
      </c>
      <c r="AD5" s="32">
        <v>0.12</v>
      </c>
      <c r="AE5" s="49">
        <v>5.6000000000000001E-2</v>
      </c>
      <c r="AI5" s="32"/>
      <c r="AJ5" s="32"/>
      <c r="AK5" s="32"/>
      <c r="AL5" s="32"/>
      <c r="AM5" s="32"/>
      <c r="AN5" s="32"/>
    </row>
    <row r="6" spans="1:40" x14ac:dyDescent="0.3">
      <c r="A6" t="s">
        <v>11</v>
      </c>
      <c r="B6" s="48">
        <v>41597.154999999999</v>
      </c>
      <c r="C6" s="32">
        <v>19009.822500000002</v>
      </c>
      <c r="D6" s="32">
        <v>9974</v>
      </c>
      <c r="E6" s="32">
        <v>4808.8625000000002</v>
      </c>
      <c r="F6" s="49">
        <v>1826.0889999999999</v>
      </c>
      <c r="G6" s="48">
        <v>37188.752500000002</v>
      </c>
      <c r="H6" s="32">
        <v>21660.1</v>
      </c>
      <c r="I6" s="32">
        <v>13060.5</v>
      </c>
      <c r="J6" s="32">
        <v>7786.2525000000005</v>
      </c>
      <c r="K6" s="49">
        <v>2219.8575000000001</v>
      </c>
      <c r="L6" s="48">
        <v>41991.215499999998</v>
      </c>
      <c r="M6" s="32">
        <v>25851.297500000001</v>
      </c>
      <c r="N6" s="32">
        <v>16368.845000000001</v>
      </c>
      <c r="O6" s="32">
        <v>9007.0025000000005</v>
      </c>
      <c r="P6" s="49">
        <v>2425.4845</v>
      </c>
      <c r="Q6" s="48">
        <v>47580.43</v>
      </c>
      <c r="R6" s="32">
        <v>26364.29</v>
      </c>
      <c r="S6" s="32">
        <v>18693.73</v>
      </c>
      <c r="T6" s="32">
        <v>12868.72</v>
      </c>
      <c r="U6" s="49">
        <v>6336.924</v>
      </c>
      <c r="V6" s="48">
        <v>44702.949999999983</v>
      </c>
      <c r="W6" s="32">
        <v>30341.785</v>
      </c>
      <c r="X6" s="32">
        <v>23015.745000000003</v>
      </c>
      <c r="Y6" s="32">
        <v>15623.1525</v>
      </c>
      <c r="Z6" s="49">
        <v>8691.3415000000005</v>
      </c>
      <c r="AA6" s="48">
        <v>42068.561999999991</v>
      </c>
      <c r="AB6" s="32">
        <v>31685.29</v>
      </c>
      <c r="AC6" s="32">
        <v>21482.35</v>
      </c>
      <c r="AD6" s="32">
        <v>18972.77</v>
      </c>
      <c r="AE6" s="49">
        <v>16392.578000000001</v>
      </c>
      <c r="AI6" s="32"/>
      <c r="AJ6" s="32"/>
      <c r="AK6" s="32"/>
      <c r="AL6" s="32"/>
      <c r="AM6" s="32"/>
      <c r="AN6" s="32"/>
    </row>
    <row r="7" spans="1:40" x14ac:dyDescent="0.3">
      <c r="A7" t="s">
        <v>10</v>
      </c>
      <c r="B7" s="48">
        <v>2018.1819999999939</v>
      </c>
      <c r="C7" s="32">
        <v>1333.33</v>
      </c>
      <c r="D7" s="32">
        <v>1000</v>
      </c>
      <c r="E7" s="32">
        <v>691.38</v>
      </c>
      <c r="F7" s="49">
        <v>391.96700000000004</v>
      </c>
      <c r="G7" s="48">
        <v>2380</v>
      </c>
      <c r="H7" s="32">
        <v>1230.77</v>
      </c>
      <c r="I7" s="32">
        <v>800</v>
      </c>
      <c r="J7" s="32">
        <v>578.21250000000009</v>
      </c>
      <c r="K7" s="49">
        <v>319.36500000000001</v>
      </c>
      <c r="L7" s="48">
        <v>1625.002999999999</v>
      </c>
      <c r="M7" s="32">
        <v>1197.6199999999999</v>
      </c>
      <c r="N7" s="32">
        <v>792.85500000000002</v>
      </c>
      <c r="O7" s="32">
        <v>540.41750000000002</v>
      </c>
      <c r="P7" s="49">
        <v>314.46350000000001</v>
      </c>
      <c r="Q7" s="48">
        <v>1765.3860000000011</v>
      </c>
      <c r="R7" s="32">
        <v>1000</v>
      </c>
      <c r="S7" s="32">
        <v>789.47</v>
      </c>
      <c r="T7" s="32">
        <v>576.91999999999996</v>
      </c>
      <c r="U7" s="49">
        <v>386.108</v>
      </c>
      <c r="V7" s="48">
        <v>1131.3209999999995</v>
      </c>
      <c r="W7" s="32">
        <v>772.42750000000001</v>
      </c>
      <c r="X7" s="32">
        <v>612.5</v>
      </c>
      <c r="Y7" s="32">
        <v>446.96749999999997</v>
      </c>
      <c r="Z7" s="49">
        <v>289.09000000000003</v>
      </c>
      <c r="AA7" s="48">
        <v>610.39400000000001</v>
      </c>
      <c r="AB7" s="32">
        <v>381.5</v>
      </c>
      <c r="AC7" s="32">
        <v>232.26</v>
      </c>
      <c r="AD7" s="32">
        <v>63.79</v>
      </c>
      <c r="AE7" s="49">
        <v>34.894000000000005</v>
      </c>
      <c r="AI7" s="32"/>
      <c r="AJ7" s="32"/>
      <c r="AK7" s="32"/>
      <c r="AL7" s="32"/>
      <c r="AM7" s="32"/>
      <c r="AN7" s="32"/>
    </row>
    <row r="8" spans="1:40" x14ac:dyDescent="0.3">
      <c r="A8" t="s">
        <v>9</v>
      </c>
      <c r="B8" s="48">
        <v>5.1019999999999959</v>
      </c>
      <c r="C8" s="32">
        <v>2.8975</v>
      </c>
      <c r="D8" s="32">
        <v>2</v>
      </c>
      <c r="E8" s="32">
        <v>1.5</v>
      </c>
      <c r="F8" s="49">
        <v>0.99250000000000016</v>
      </c>
      <c r="G8" s="48">
        <v>6.2625000000000002</v>
      </c>
      <c r="H8" s="32">
        <v>3.4550000000000001</v>
      </c>
      <c r="I8" s="32">
        <v>2.5</v>
      </c>
      <c r="J8" s="32">
        <v>1.63</v>
      </c>
      <c r="K8" s="49">
        <v>0.89249999999999996</v>
      </c>
      <c r="L8" s="48">
        <v>6.357499999999999</v>
      </c>
      <c r="M8" s="32">
        <v>3.6975000000000002</v>
      </c>
      <c r="N8" s="32">
        <v>2.5249999999999999</v>
      </c>
      <c r="O8" s="32">
        <v>1.6724999999999999</v>
      </c>
      <c r="P8" s="49">
        <v>1.234</v>
      </c>
      <c r="Q8" s="48">
        <v>5.1820000000000004</v>
      </c>
      <c r="R8" s="32">
        <v>3.47</v>
      </c>
      <c r="S8" s="32">
        <v>2.5299999999999998</v>
      </c>
      <c r="T8" s="32">
        <v>2</v>
      </c>
      <c r="U8" s="49">
        <v>1.1359999999999999</v>
      </c>
      <c r="V8" s="48">
        <v>6.9219999999999988</v>
      </c>
      <c r="W8" s="32">
        <v>4.4749999999999996</v>
      </c>
      <c r="X8" s="32">
        <v>3.2650000000000001</v>
      </c>
      <c r="Y8" s="32">
        <v>2.59</v>
      </c>
      <c r="Z8" s="49">
        <v>1.774</v>
      </c>
      <c r="AA8" s="48">
        <v>112.96599999999972</v>
      </c>
      <c r="AB8" s="32">
        <v>31.35</v>
      </c>
      <c r="AC8" s="32">
        <v>8.61</v>
      </c>
      <c r="AD8" s="32">
        <v>5.24</v>
      </c>
      <c r="AE8" s="49">
        <v>3.278</v>
      </c>
      <c r="AI8" s="32"/>
      <c r="AJ8" s="32"/>
      <c r="AK8" s="32"/>
      <c r="AL8" s="32"/>
      <c r="AM8" s="32"/>
      <c r="AN8" s="32"/>
    </row>
    <row r="9" spans="1:40" x14ac:dyDescent="0.3">
      <c r="A9" t="s">
        <v>64</v>
      </c>
      <c r="B9" s="90">
        <v>320.66649999999976</v>
      </c>
      <c r="C9" s="91">
        <v>107.4025</v>
      </c>
      <c r="D9" s="91">
        <v>42.730000000000004</v>
      </c>
      <c r="E9" s="91">
        <v>0</v>
      </c>
      <c r="F9" s="92">
        <v>0</v>
      </c>
      <c r="G9" s="90">
        <v>328.46500000000003</v>
      </c>
      <c r="H9" s="91">
        <v>117.22499999999999</v>
      </c>
      <c r="I9" s="91">
        <v>51.555</v>
      </c>
      <c r="J9" s="91">
        <v>9.1675000000000004</v>
      </c>
      <c r="K9" s="92">
        <v>0</v>
      </c>
      <c r="L9" s="90">
        <v>250</v>
      </c>
      <c r="M9" s="91">
        <v>117.645</v>
      </c>
      <c r="N9" s="91">
        <v>57.55</v>
      </c>
      <c r="O9" s="91">
        <v>13.425000000000001</v>
      </c>
      <c r="P9" s="92">
        <v>0</v>
      </c>
      <c r="Q9" s="90">
        <v>194.14400000000006</v>
      </c>
      <c r="R9" s="91">
        <v>90.67</v>
      </c>
      <c r="S9" s="91">
        <v>53.85</v>
      </c>
      <c r="T9" s="91">
        <v>18.600000000000001</v>
      </c>
      <c r="U9" s="92">
        <v>0</v>
      </c>
      <c r="V9" s="90">
        <v>117.63399999999999</v>
      </c>
      <c r="W9" s="91">
        <v>52.387500000000003</v>
      </c>
      <c r="X9" s="91">
        <v>31.074999999999999</v>
      </c>
      <c r="Y9" s="91">
        <v>12.27</v>
      </c>
      <c r="Z9" s="92">
        <v>0</v>
      </c>
      <c r="AA9" s="90">
        <v>78.723999999999975</v>
      </c>
      <c r="AB9" s="91">
        <v>46.21</v>
      </c>
      <c r="AC9" s="91">
        <v>22.51</v>
      </c>
      <c r="AD9" s="91">
        <v>19.649999999999999</v>
      </c>
      <c r="AE9" s="92">
        <v>1.4940000000000004</v>
      </c>
      <c r="AI9" s="31"/>
      <c r="AJ9" s="31"/>
      <c r="AK9" s="31"/>
      <c r="AL9" s="31"/>
      <c r="AM9" s="31"/>
      <c r="AN9" s="31"/>
    </row>
    <row r="10" spans="1:40" x14ac:dyDescent="0.3">
      <c r="A10" t="s">
        <v>8</v>
      </c>
      <c r="B10" s="48">
        <v>26.642499999999995</v>
      </c>
      <c r="C10" s="32">
        <v>8.33</v>
      </c>
      <c r="D10" s="32">
        <v>4.41</v>
      </c>
      <c r="E10" s="32">
        <v>1.91</v>
      </c>
      <c r="F10" s="49">
        <v>0.45950000000000002</v>
      </c>
      <c r="G10" s="48">
        <v>15.422499999999999</v>
      </c>
      <c r="H10" s="32">
        <v>6.3199999999999994</v>
      </c>
      <c r="I10" s="32">
        <v>3.5350000000000001</v>
      </c>
      <c r="J10" s="32">
        <v>1.77</v>
      </c>
      <c r="K10" s="49">
        <v>0.375</v>
      </c>
      <c r="L10" s="48">
        <v>17.422499999999989</v>
      </c>
      <c r="M10" s="32">
        <v>6.8224999999999998</v>
      </c>
      <c r="N10" s="32">
        <v>3.77</v>
      </c>
      <c r="O10" s="32">
        <v>2.0425</v>
      </c>
      <c r="P10" s="49">
        <v>0.49550000000000005</v>
      </c>
      <c r="Q10" s="48">
        <v>20.814000000000004</v>
      </c>
      <c r="R10" s="32">
        <v>11.65</v>
      </c>
      <c r="S10" s="32">
        <v>5.99</v>
      </c>
      <c r="T10" s="32">
        <v>2.59</v>
      </c>
      <c r="U10" s="49">
        <v>0.64599999999999991</v>
      </c>
      <c r="V10" s="48">
        <v>27.491499999999995</v>
      </c>
      <c r="W10" s="32">
        <v>15.33</v>
      </c>
      <c r="X10" s="32">
        <v>10.56</v>
      </c>
      <c r="Y10" s="32">
        <v>5.5425000000000004</v>
      </c>
      <c r="Z10" s="49">
        <v>1.2230000000000003</v>
      </c>
      <c r="AA10" s="48">
        <v>28.377999999999997</v>
      </c>
      <c r="AB10" s="32">
        <v>15.35</v>
      </c>
      <c r="AC10" s="32">
        <v>14.05</v>
      </c>
      <c r="AD10" s="32">
        <v>11.66</v>
      </c>
      <c r="AE10" s="49">
        <v>7.99</v>
      </c>
      <c r="AI10" s="32"/>
      <c r="AJ10" s="32"/>
      <c r="AK10" s="32"/>
      <c r="AL10" s="32"/>
      <c r="AM10" s="32"/>
      <c r="AN10" s="32"/>
    </row>
    <row r="11" spans="1:40" ht="15" thickBot="1" x14ac:dyDescent="0.35">
      <c r="A11" t="s">
        <v>70</v>
      </c>
      <c r="B11" s="48">
        <v>8.0574999999999974</v>
      </c>
      <c r="C11" s="50">
        <v>3.6549999999999998</v>
      </c>
      <c r="D11" s="50">
        <v>1.9550000000000001</v>
      </c>
      <c r="E11" s="50">
        <v>0.90749999999999997</v>
      </c>
      <c r="F11" s="51">
        <v>7.8000000000000042E-2</v>
      </c>
      <c r="G11" s="48">
        <v>4.91</v>
      </c>
      <c r="H11" s="50">
        <v>2.86</v>
      </c>
      <c r="I11" s="50">
        <v>1.605</v>
      </c>
      <c r="J11" s="50">
        <v>0.76</v>
      </c>
      <c r="K11" s="51">
        <v>0.1875</v>
      </c>
      <c r="L11" s="48">
        <v>3.9489999999999985</v>
      </c>
      <c r="M11" s="50">
        <v>2.2050000000000001</v>
      </c>
      <c r="N11" s="50">
        <v>1.3450000000000002</v>
      </c>
      <c r="O11" s="50">
        <v>0.76</v>
      </c>
      <c r="P11" s="51">
        <v>0.23850000000000002</v>
      </c>
      <c r="Q11" s="48">
        <v>2.7720000000000007</v>
      </c>
      <c r="R11" s="50">
        <v>1.78</v>
      </c>
      <c r="S11" s="50">
        <v>1.1100000000000001</v>
      </c>
      <c r="T11" s="50">
        <v>0.66</v>
      </c>
      <c r="U11" s="51">
        <v>0.27999999999999997</v>
      </c>
      <c r="V11" s="48">
        <v>2.1204999999999989</v>
      </c>
      <c r="W11" s="50">
        <v>1.385</v>
      </c>
      <c r="X11" s="50">
        <v>0.97</v>
      </c>
      <c r="Y11" s="50">
        <v>0.51500000000000001</v>
      </c>
      <c r="Z11" s="51">
        <v>0.20649999999999999</v>
      </c>
      <c r="AA11" s="48">
        <v>2.4199999999999982</v>
      </c>
      <c r="AB11" s="50">
        <v>1.4</v>
      </c>
      <c r="AC11" s="50">
        <v>1.1100000000000001</v>
      </c>
      <c r="AD11" s="50">
        <v>0.73</v>
      </c>
      <c r="AE11" s="51">
        <v>0.46400000000000002</v>
      </c>
      <c r="AI11" s="34"/>
      <c r="AJ11" s="34"/>
      <c r="AK11" s="34"/>
      <c r="AL11" s="34"/>
      <c r="AM11" s="34"/>
      <c r="AN11" s="32"/>
    </row>
    <row r="12" spans="1:40" ht="15" thickBot="1" x14ac:dyDescent="0.35">
      <c r="A12" t="s">
        <v>71</v>
      </c>
      <c r="B12" s="48">
        <v>3.465999999999998</v>
      </c>
      <c r="C12" s="32">
        <v>1.2149999999999999</v>
      </c>
      <c r="D12" s="32">
        <v>0.77500000000000002</v>
      </c>
      <c r="E12" s="32">
        <v>0.55000000000000004</v>
      </c>
      <c r="F12" s="49">
        <v>0.10950000000000001</v>
      </c>
      <c r="G12" s="48">
        <v>2.0425</v>
      </c>
      <c r="H12" s="32">
        <v>1.0625</v>
      </c>
      <c r="I12" s="32">
        <v>0.65</v>
      </c>
      <c r="J12" s="32">
        <v>0.46749999999999997</v>
      </c>
      <c r="K12" s="49">
        <v>0.20749999999999999</v>
      </c>
      <c r="L12" s="48">
        <v>1.9544999999999992</v>
      </c>
      <c r="M12" s="32">
        <v>0.85</v>
      </c>
      <c r="N12" s="32">
        <v>0.62</v>
      </c>
      <c r="O12" s="32">
        <v>0.4325</v>
      </c>
      <c r="P12" s="49">
        <v>0.27</v>
      </c>
      <c r="Q12" s="48">
        <v>1.3280000000000016</v>
      </c>
      <c r="R12" s="32">
        <v>0.68</v>
      </c>
      <c r="S12" s="32">
        <v>0.52</v>
      </c>
      <c r="T12" s="32">
        <v>0.38</v>
      </c>
      <c r="U12" s="49">
        <v>0.23599999999999999</v>
      </c>
      <c r="V12" s="48">
        <v>0.74699999999999989</v>
      </c>
      <c r="W12" s="32">
        <v>0.43</v>
      </c>
      <c r="X12" s="32">
        <v>0.34</v>
      </c>
      <c r="Y12" s="32">
        <v>0.27</v>
      </c>
      <c r="Z12" s="49">
        <v>0.16</v>
      </c>
      <c r="AA12" s="48">
        <v>0.79799999999999882</v>
      </c>
      <c r="AB12" s="32">
        <v>0.41</v>
      </c>
      <c r="AC12" s="32">
        <v>0.34</v>
      </c>
      <c r="AD12" s="32">
        <v>0.26</v>
      </c>
      <c r="AE12" s="49">
        <v>0.14600000000000002</v>
      </c>
      <c r="AG12" s="44"/>
      <c r="AI12" s="32"/>
      <c r="AJ12" s="32"/>
      <c r="AK12" s="32"/>
      <c r="AL12" s="32"/>
      <c r="AM12" s="32"/>
      <c r="AN12" s="32"/>
    </row>
    <row r="13" spans="1:40" x14ac:dyDescent="0.3">
      <c r="A13" t="s">
        <v>7</v>
      </c>
      <c r="B13" s="48">
        <v>16.441999999999972</v>
      </c>
      <c r="C13" s="32">
        <v>5.2925000000000004</v>
      </c>
      <c r="D13" s="32">
        <v>3.0649999999999999</v>
      </c>
      <c r="E13" s="32">
        <v>2.08</v>
      </c>
      <c r="F13" s="49">
        <v>0.65750000000000008</v>
      </c>
      <c r="G13" s="48">
        <v>10.4575</v>
      </c>
      <c r="H13" s="32">
        <v>4.25</v>
      </c>
      <c r="I13" s="32">
        <v>2.86</v>
      </c>
      <c r="J13" s="32">
        <v>1.9</v>
      </c>
      <c r="K13" s="49">
        <v>0.97249999999999992</v>
      </c>
      <c r="L13" s="48">
        <v>17.147500000000001</v>
      </c>
      <c r="M13" s="32">
        <v>5.8100000000000005</v>
      </c>
      <c r="N13" s="32">
        <v>3.47</v>
      </c>
      <c r="O13" s="32">
        <v>2.09</v>
      </c>
      <c r="P13" s="49">
        <v>0.83</v>
      </c>
      <c r="Q13" s="48">
        <v>18.994000000000007</v>
      </c>
      <c r="R13" s="32">
        <v>9.3699999999999992</v>
      </c>
      <c r="S13" s="32">
        <v>5.62</v>
      </c>
      <c r="T13" s="32">
        <v>3</v>
      </c>
      <c r="U13" s="49">
        <v>1.3240000000000001</v>
      </c>
      <c r="V13" s="48">
        <v>24.729499999999984</v>
      </c>
      <c r="W13" s="32">
        <v>11.1625</v>
      </c>
      <c r="X13" s="32">
        <v>7.5449999999999999</v>
      </c>
      <c r="Y13" s="32">
        <v>5.2924999999999995</v>
      </c>
      <c r="Z13" s="49">
        <v>1.9940000000000002</v>
      </c>
      <c r="AA13" s="48">
        <v>17.352</v>
      </c>
      <c r="AB13" s="32">
        <v>15.04</v>
      </c>
      <c r="AC13" s="32">
        <v>12.83</v>
      </c>
      <c r="AD13" s="32">
        <v>10.81</v>
      </c>
      <c r="AE13" s="49">
        <v>9.097999999999999</v>
      </c>
      <c r="AI13" s="32"/>
      <c r="AJ13" s="32"/>
      <c r="AK13" s="32"/>
      <c r="AL13" s="32"/>
      <c r="AM13" s="32"/>
      <c r="AN13" s="32"/>
    </row>
    <row r="14" spans="1:40" x14ac:dyDescent="0.3">
      <c r="A14" t="s">
        <v>81</v>
      </c>
      <c r="B14" s="90">
        <v>110.65949999999998</v>
      </c>
      <c r="C14" s="91">
        <v>83.8</v>
      </c>
      <c r="D14" s="91">
        <v>56.905000000000001</v>
      </c>
      <c r="E14" s="91">
        <v>28.2575</v>
      </c>
      <c r="F14" s="92">
        <v>0</v>
      </c>
      <c r="G14" s="90">
        <v>115.9675</v>
      </c>
      <c r="H14" s="91">
        <v>87.327500000000001</v>
      </c>
      <c r="I14" s="91">
        <v>54.14</v>
      </c>
      <c r="J14" s="91">
        <v>26.612500000000001</v>
      </c>
      <c r="K14" s="92">
        <v>0</v>
      </c>
      <c r="L14" s="90">
        <v>110.67049999999995</v>
      </c>
      <c r="M14" s="91">
        <v>74.224999999999994</v>
      </c>
      <c r="N14" s="91">
        <v>39.08</v>
      </c>
      <c r="O14" s="91">
        <v>17.932500000000001</v>
      </c>
      <c r="P14" s="92">
        <v>2.3560000000000016</v>
      </c>
      <c r="Q14" s="90">
        <v>100.26</v>
      </c>
      <c r="R14" s="91">
        <v>54.63</v>
      </c>
      <c r="S14" s="91">
        <v>22.9</v>
      </c>
      <c r="T14" s="91">
        <v>11.9</v>
      </c>
      <c r="U14" s="92">
        <v>3.6679999999999997</v>
      </c>
      <c r="V14" s="90">
        <v>51.32</v>
      </c>
      <c r="W14" s="91">
        <v>17.2075</v>
      </c>
      <c r="X14" s="91">
        <v>12.73</v>
      </c>
      <c r="Y14" s="91">
        <v>7.6099999999999994</v>
      </c>
      <c r="Z14" s="92">
        <v>3.1315</v>
      </c>
      <c r="AA14" s="90">
        <v>71.001999999999924</v>
      </c>
      <c r="AB14" s="91">
        <v>9.56</v>
      </c>
      <c r="AC14" s="91">
        <v>7.91</v>
      </c>
      <c r="AD14" s="91">
        <v>5.99</v>
      </c>
      <c r="AE14" s="92">
        <v>1.4860000000000002</v>
      </c>
      <c r="AI14" s="31"/>
      <c r="AJ14" s="31"/>
      <c r="AK14" s="31"/>
      <c r="AL14" s="31"/>
      <c r="AM14" s="31"/>
      <c r="AN14" s="31"/>
    </row>
    <row r="15" spans="1:40" x14ac:dyDescent="0.3">
      <c r="A15" t="s">
        <v>65</v>
      </c>
      <c r="B15" s="48">
        <v>7.5299999999999958</v>
      </c>
      <c r="C15" s="32">
        <v>4.5999999999999996</v>
      </c>
      <c r="D15" s="32">
        <v>3.4350000000000001</v>
      </c>
      <c r="E15" s="32">
        <v>2.5249999999999999</v>
      </c>
      <c r="F15" s="49">
        <v>1.6080000000000001</v>
      </c>
      <c r="G15" s="48">
        <v>4.7249999999999996</v>
      </c>
      <c r="H15" s="32">
        <v>3.1825000000000001</v>
      </c>
      <c r="I15" s="32">
        <v>2.36</v>
      </c>
      <c r="J15" s="32">
        <v>1.7675000000000001</v>
      </c>
      <c r="K15" s="49">
        <v>1.0750000000000002</v>
      </c>
      <c r="L15" s="48">
        <v>3.1814999999999998</v>
      </c>
      <c r="M15" s="32">
        <v>2.2000000000000002</v>
      </c>
      <c r="N15" s="32">
        <v>1.79</v>
      </c>
      <c r="O15" s="32">
        <v>1.35</v>
      </c>
      <c r="P15" s="49">
        <v>0.85850000000000004</v>
      </c>
      <c r="Q15" s="48">
        <v>2.504</v>
      </c>
      <c r="R15" s="32">
        <v>1.71</v>
      </c>
      <c r="S15" s="32">
        <v>1.37</v>
      </c>
      <c r="T15" s="32">
        <v>1</v>
      </c>
      <c r="U15" s="49">
        <v>0.64</v>
      </c>
      <c r="V15" s="48">
        <v>2.0634999999999999</v>
      </c>
      <c r="W15" s="32">
        <v>1.5950000000000002</v>
      </c>
      <c r="X15" s="32">
        <v>1.1599999999999999</v>
      </c>
      <c r="Y15" s="32">
        <v>0.94249999999999989</v>
      </c>
      <c r="Z15" s="49">
        <v>0.53950000000000009</v>
      </c>
      <c r="AA15" s="48">
        <v>1.01</v>
      </c>
      <c r="AB15" s="32">
        <v>0.92</v>
      </c>
      <c r="AC15" s="32">
        <v>0.75</v>
      </c>
      <c r="AD15" s="32">
        <v>0.64</v>
      </c>
      <c r="AE15" s="49">
        <v>0.41800000000000004</v>
      </c>
      <c r="AI15" s="32"/>
      <c r="AJ15" s="32"/>
      <c r="AK15" s="32"/>
      <c r="AL15" s="32"/>
      <c r="AM15" s="32"/>
      <c r="AN15" s="32"/>
    </row>
    <row r="16" spans="1:40" x14ac:dyDescent="0.3">
      <c r="A16" t="s">
        <v>66</v>
      </c>
      <c r="B16" s="48">
        <v>80.897999999999897</v>
      </c>
      <c r="C16" s="33">
        <v>38.8825</v>
      </c>
      <c r="D16" s="33">
        <v>26.82</v>
      </c>
      <c r="E16" s="33">
        <v>20.76</v>
      </c>
      <c r="F16" s="52">
        <v>10.557</v>
      </c>
      <c r="G16" s="48">
        <v>66.41749999999999</v>
      </c>
      <c r="H16" s="33">
        <v>33.272500000000001</v>
      </c>
      <c r="I16" s="33">
        <v>20.725000000000001</v>
      </c>
      <c r="J16" s="33">
        <v>15.932500000000001</v>
      </c>
      <c r="K16" s="52">
        <v>9.33</v>
      </c>
      <c r="L16" s="48">
        <v>64.52049999999997</v>
      </c>
      <c r="M16" s="33">
        <v>27.1875</v>
      </c>
      <c r="N16" s="33">
        <v>18.925000000000001</v>
      </c>
      <c r="O16" s="33">
        <v>14.172499999999999</v>
      </c>
      <c r="P16" s="52">
        <v>8.134500000000001</v>
      </c>
      <c r="Q16" s="48">
        <v>50.422000000000018</v>
      </c>
      <c r="R16" s="33">
        <v>25.06</v>
      </c>
      <c r="S16" s="33">
        <v>16.47</v>
      </c>
      <c r="T16" s="33">
        <v>11.9</v>
      </c>
      <c r="U16" s="52">
        <v>7.8879999999999999</v>
      </c>
      <c r="V16" s="48">
        <v>32.245499999999993</v>
      </c>
      <c r="W16" s="33">
        <v>22.0075</v>
      </c>
      <c r="X16" s="33">
        <v>16.435000000000002</v>
      </c>
      <c r="Y16" s="33">
        <v>12.817500000000001</v>
      </c>
      <c r="Z16" s="52">
        <v>8.1850000000000005</v>
      </c>
      <c r="AA16" s="48">
        <v>15.931999999999997</v>
      </c>
      <c r="AB16" s="33">
        <v>11.23</v>
      </c>
      <c r="AC16" s="33">
        <v>9.57</v>
      </c>
      <c r="AD16" s="33">
        <v>7.4</v>
      </c>
      <c r="AE16" s="52">
        <v>3.9039999999999999</v>
      </c>
      <c r="AI16" s="33"/>
      <c r="AJ16" s="33"/>
      <c r="AK16" s="33"/>
      <c r="AL16" s="33"/>
      <c r="AM16" s="33"/>
      <c r="AN16" s="32"/>
    </row>
    <row r="17" spans="1:40" x14ac:dyDescent="0.3">
      <c r="A17" t="s">
        <v>67</v>
      </c>
      <c r="B17" s="90">
        <v>17.02153538442294</v>
      </c>
      <c r="C17" s="91">
        <v>10.29415529799075</v>
      </c>
      <c r="D17" s="91">
        <v>7.1709573181507498</v>
      </c>
      <c r="E17" s="91">
        <v>4.3386092760240498</v>
      </c>
      <c r="F17" s="92">
        <v>0.51233472269310154</v>
      </c>
      <c r="G17" s="90">
        <v>17.403217740983251</v>
      </c>
      <c r="H17" s="91">
        <v>10.594805889907999</v>
      </c>
      <c r="I17" s="91">
        <v>7.5565672547659499</v>
      </c>
      <c r="J17" s="91">
        <v>4.0887985378846752</v>
      </c>
      <c r="K17" s="92">
        <v>1.359571390297575</v>
      </c>
      <c r="L17" s="90">
        <v>17.005885081942584</v>
      </c>
      <c r="M17" s="91">
        <v>10.76728050795375</v>
      </c>
      <c r="N17" s="91">
        <v>8.0731182235853503</v>
      </c>
      <c r="O17" s="91">
        <v>5.3662081058430751</v>
      </c>
      <c r="P17" s="92">
        <v>2.154396032303735</v>
      </c>
      <c r="Q17" s="90">
        <v>15.931733787498601</v>
      </c>
      <c r="R17" s="91">
        <v>10.605612998523</v>
      </c>
      <c r="S17" s="91">
        <v>8.2141911570028991</v>
      </c>
      <c r="T17" s="91">
        <v>5.8533189900652003</v>
      </c>
      <c r="U17" s="92">
        <v>2.14869535750596</v>
      </c>
      <c r="V17" s="90">
        <v>13.635860666476093</v>
      </c>
      <c r="W17" s="91">
        <v>9.5318595098778509</v>
      </c>
      <c r="X17" s="91">
        <v>7.7771837471619003</v>
      </c>
      <c r="Y17" s="91">
        <v>6.3083076184616997</v>
      </c>
      <c r="Z17" s="92">
        <v>4.5056455432574847</v>
      </c>
      <c r="AA17" s="90">
        <v>16.2330758323026</v>
      </c>
      <c r="AB17" s="91">
        <v>13.908832390123001</v>
      </c>
      <c r="AC17" s="91">
        <v>10.680168679537999</v>
      </c>
      <c r="AD17" s="91">
        <v>9.6957046970271001</v>
      </c>
      <c r="AE17" s="92">
        <v>8.5738678835528006</v>
      </c>
      <c r="AI17" s="31"/>
      <c r="AJ17" s="31"/>
      <c r="AK17" s="31"/>
      <c r="AL17" s="31"/>
      <c r="AM17" s="31"/>
      <c r="AN17" s="31"/>
    </row>
    <row r="18" spans="1:40" x14ac:dyDescent="0.3">
      <c r="A18" t="s">
        <v>5</v>
      </c>
      <c r="B18" s="48">
        <v>1078.0689999999988</v>
      </c>
      <c r="C18" s="32">
        <v>346.5675</v>
      </c>
      <c r="D18" s="32">
        <v>218.44499999999999</v>
      </c>
      <c r="E18" s="32">
        <v>156.6225</v>
      </c>
      <c r="F18" s="49">
        <v>69.441500000000005</v>
      </c>
      <c r="G18" s="48">
        <v>452.51</v>
      </c>
      <c r="H18" s="32">
        <v>191.58749999999998</v>
      </c>
      <c r="I18" s="32">
        <v>143.035</v>
      </c>
      <c r="J18" s="32">
        <v>98.4375</v>
      </c>
      <c r="K18" s="49">
        <v>47.005000000000003</v>
      </c>
      <c r="L18" s="48">
        <v>211.70949999999999</v>
      </c>
      <c r="M18" s="32">
        <v>140.02500000000001</v>
      </c>
      <c r="N18" s="32">
        <v>110.89</v>
      </c>
      <c r="O18" s="32">
        <v>72.052500000000009</v>
      </c>
      <c r="P18" s="49">
        <v>39.814999999999998</v>
      </c>
      <c r="Q18" s="48">
        <v>198.714</v>
      </c>
      <c r="R18" s="32">
        <v>124.7</v>
      </c>
      <c r="S18" s="32">
        <v>97.45</v>
      </c>
      <c r="T18" s="32">
        <v>62.12</v>
      </c>
      <c r="U18" s="49">
        <v>25.981999999999999</v>
      </c>
      <c r="V18" s="48">
        <v>106.71599999999998</v>
      </c>
      <c r="W18" s="32">
        <v>94.58</v>
      </c>
      <c r="X18" s="32">
        <v>66.925000000000011</v>
      </c>
      <c r="Y18" s="32">
        <v>53.730000000000004</v>
      </c>
      <c r="Z18" s="49">
        <v>30.762499999999999</v>
      </c>
      <c r="AA18" s="48">
        <v>55.785999999999987</v>
      </c>
      <c r="AB18" s="32">
        <v>40.75</v>
      </c>
      <c r="AC18" s="32">
        <v>27.49</v>
      </c>
      <c r="AD18" s="32">
        <v>11.73</v>
      </c>
      <c r="AE18" s="49">
        <v>5.9260000000000002</v>
      </c>
      <c r="AI18" s="32"/>
      <c r="AJ18" s="32"/>
      <c r="AK18" s="32"/>
      <c r="AL18" s="32"/>
      <c r="AM18" s="32"/>
      <c r="AN18" s="32"/>
    </row>
    <row r="19" spans="1:40" x14ac:dyDescent="0.3">
      <c r="A19" t="s">
        <v>4</v>
      </c>
      <c r="B19" s="48">
        <v>66.47999999999999</v>
      </c>
      <c r="C19" s="32">
        <v>21.53</v>
      </c>
      <c r="D19" s="32">
        <v>10</v>
      </c>
      <c r="E19" s="32">
        <v>3.3775000000000004</v>
      </c>
      <c r="F19" s="49">
        <v>0</v>
      </c>
      <c r="G19" s="48">
        <v>42.732500000000002</v>
      </c>
      <c r="H19" s="32">
        <v>15.227500000000001</v>
      </c>
      <c r="I19" s="32">
        <v>6.21</v>
      </c>
      <c r="J19" s="32">
        <v>1.95</v>
      </c>
      <c r="K19" s="49">
        <v>0</v>
      </c>
      <c r="L19" s="48">
        <v>33.297999999999988</v>
      </c>
      <c r="M19" s="32">
        <v>14.432500000000001</v>
      </c>
      <c r="N19" s="32">
        <v>4.9000000000000004</v>
      </c>
      <c r="O19" s="32">
        <v>1.8450000000000002</v>
      </c>
      <c r="P19" s="49">
        <v>0</v>
      </c>
      <c r="Q19" s="48">
        <v>32.568000000000026</v>
      </c>
      <c r="R19" s="32">
        <v>10.84</v>
      </c>
      <c r="S19" s="32">
        <v>4.8899999999999997</v>
      </c>
      <c r="T19" s="32">
        <v>2.31</v>
      </c>
      <c r="U19" s="49">
        <v>7.1999999999999953E-2</v>
      </c>
      <c r="V19" s="48">
        <v>16.416499999999981</v>
      </c>
      <c r="W19" s="32">
        <v>8.9924999999999997</v>
      </c>
      <c r="X19" s="32">
        <v>4.8450000000000006</v>
      </c>
      <c r="Y19" s="32">
        <v>2.9649999999999999</v>
      </c>
      <c r="Z19" s="49">
        <v>0.51550000000000018</v>
      </c>
      <c r="AA19" s="48">
        <v>10.202</v>
      </c>
      <c r="AB19" s="32">
        <v>4.74</v>
      </c>
      <c r="AC19" s="32">
        <v>3.05</v>
      </c>
      <c r="AD19" s="32">
        <v>1.36</v>
      </c>
      <c r="AE19" s="49">
        <v>0.31800000000000006</v>
      </c>
      <c r="AI19" s="32"/>
      <c r="AJ19" s="32"/>
      <c r="AK19" s="32"/>
      <c r="AL19" s="32"/>
      <c r="AM19" s="32"/>
      <c r="AN19" s="32"/>
    </row>
    <row r="20" spans="1:40" x14ac:dyDescent="0.3">
      <c r="A20" t="s">
        <v>73</v>
      </c>
      <c r="B20" s="48">
        <v>8.6794999999999938</v>
      </c>
      <c r="C20" s="32">
        <v>1.1425000000000001</v>
      </c>
      <c r="D20" s="32">
        <v>0</v>
      </c>
      <c r="E20" s="32">
        <v>0</v>
      </c>
      <c r="F20" s="49">
        <v>0</v>
      </c>
      <c r="G20" s="48">
        <v>8.8550000000000004</v>
      </c>
      <c r="H20" s="32">
        <v>1</v>
      </c>
      <c r="I20" s="32">
        <v>0</v>
      </c>
      <c r="J20" s="32">
        <v>0</v>
      </c>
      <c r="K20" s="49">
        <v>0</v>
      </c>
      <c r="L20" s="48">
        <v>6.3429999999999991</v>
      </c>
      <c r="M20" s="32">
        <v>1.1375</v>
      </c>
      <c r="N20" s="32">
        <v>0</v>
      </c>
      <c r="O20" s="32">
        <v>0</v>
      </c>
      <c r="P20" s="49">
        <v>0</v>
      </c>
      <c r="Q20" s="48">
        <v>2.8960000000000008</v>
      </c>
      <c r="R20" s="32">
        <v>0.77</v>
      </c>
      <c r="S20" s="32">
        <v>0.14000000000000001</v>
      </c>
      <c r="T20" s="32">
        <v>0</v>
      </c>
      <c r="U20" s="49">
        <v>0</v>
      </c>
      <c r="V20" s="48">
        <v>1.9954999999999992</v>
      </c>
      <c r="W20" s="32">
        <v>0.55000000000000004</v>
      </c>
      <c r="X20" s="32">
        <v>0.26</v>
      </c>
      <c r="Y20" s="32">
        <v>8.2500000000000004E-2</v>
      </c>
      <c r="Z20" s="49">
        <v>0</v>
      </c>
      <c r="AA20" s="48">
        <v>0.86999999999999922</v>
      </c>
      <c r="AB20" s="32">
        <v>0.48</v>
      </c>
      <c r="AC20" s="32">
        <v>0.42</v>
      </c>
      <c r="AD20" s="32">
        <v>0.37</v>
      </c>
      <c r="AE20" s="49">
        <v>8.4000000000000005E-2</v>
      </c>
      <c r="AI20" s="32"/>
      <c r="AJ20" s="32"/>
      <c r="AK20" s="32"/>
      <c r="AL20" s="32"/>
      <c r="AM20" s="32"/>
      <c r="AN20" s="32"/>
    </row>
    <row r="21" spans="1:40" x14ac:dyDescent="0.3">
      <c r="A21" t="s">
        <v>3</v>
      </c>
      <c r="B21" s="90">
        <v>34.552999999999983</v>
      </c>
      <c r="C21" s="91">
        <v>18.72</v>
      </c>
      <c r="D21" s="91">
        <v>12.484999999999999</v>
      </c>
      <c r="E21" s="91">
        <v>8.41</v>
      </c>
      <c r="F21" s="92">
        <v>3.516</v>
      </c>
      <c r="G21" s="90">
        <v>25.692500000000003</v>
      </c>
      <c r="H21" s="91">
        <v>16.465</v>
      </c>
      <c r="I21" s="91">
        <v>10.95</v>
      </c>
      <c r="J21" s="91">
        <v>6.3224999999999998</v>
      </c>
      <c r="K21" s="92">
        <v>2.42</v>
      </c>
      <c r="L21" s="90">
        <v>27.260499999999993</v>
      </c>
      <c r="M21" s="91">
        <v>14.297499999999999</v>
      </c>
      <c r="N21" s="91">
        <v>9.3849999999999998</v>
      </c>
      <c r="O21" s="91">
        <v>5.7750000000000004</v>
      </c>
      <c r="P21" s="92">
        <v>2.1855000000000002</v>
      </c>
      <c r="Q21" s="90">
        <v>18.884000000000004</v>
      </c>
      <c r="R21" s="91">
        <v>12.64</v>
      </c>
      <c r="S21" s="91">
        <v>8.4499999999999993</v>
      </c>
      <c r="T21" s="91">
        <v>5.04</v>
      </c>
      <c r="U21" s="92">
        <v>1.554</v>
      </c>
      <c r="V21" s="90">
        <v>16.720999999999997</v>
      </c>
      <c r="W21" s="91">
        <v>10.4725</v>
      </c>
      <c r="X21" s="91">
        <v>7.4700000000000006</v>
      </c>
      <c r="Y21" s="91">
        <v>4.62</v>
      </c>
      <c r="Z21" s="92">
        <v>2.0965000000000003</v>
      </c>
      <c r="AA21" s="90">
        <v>17.985999999999983</v>
      </c>
      <c r="AB21" s="91">
        <v>10.34</v>
      </c>
      <c r="AC21" s="91">
        <v>7.08</v>
      </c>
      <c r="AD21" s="91">
        <v>5.62</v>
      </c>
      <c r="AE21" s="92">
        <v>4.9980000000000002</v>
      </c>
      <c r="AI21" s="30"/>
      <c r="AJ21" s="30"/>
      <c r="AK21" s="30"/>
      <c r="AL21" s="30"/>
      <c r="AM21" s="30"/>
      <c r="AN21" s="30"/>
    </row>
    <row r="22" spans="1:40" x14ac:dyDescent="0.3">
      <c r="A22" t="s">
        <v>2</v>
      </c>
      <c r="B22" s="48">
        <v>5.4409999999999963</v>
      </c>
      <c r="C22" s="32">
        <v>2.5024999999999999</v>
      </c>
      <c r="D22" s="32">
        <v>1.4750000000000001</v>
      </c>
      <c r="E22" s="32">
        <v>0.64749999999999996</v>
      </c>
      <c r="F22" s="49">
        <v>0.1895</v>
      </c>
      <c r="G22" s="48">
        <v>4.5175000000000001</v>
      </c>
      <c r="H22" s="32">
        <v>2.3274999999999997</v>
      </c>
      <c r="I22" s="32">
        <v>1.2450000000000001</v>
      </c>
      <c r="J22" s="32">
        <v>0.64749999999999996</v>
      </c>
      <c r="K22" s="49">
        <v>0.1275</v>
      </c>
      <c r="L22" s="48">
        <v>3.8839999999999963</v>
      </c>
      <c r="M22" s="32">
        <v>1.95</v>
      </c>
      <c r="N22" s="32">
        <v>1.19</v>
      </c>
      <c r="O22" s="32">
        <v>0.59</v>
      </c>
      <c r="P22" s="49">
        <v>0.14000000000000001</v>
      </c>
      <c r="Q22" s="48">
        <v>3.5920000000000041</v>
      </c>
      <c r="R22" s="32">
        <v>1.78</v>
      </c>
      <c r="S22" s="32">
        <v>1.01</v>
      </c>
      <c r="T22" s="32">
        <v>0.56000000000000005</v>
      </c>
      <c r="U22" s="49">
        <v>0.128</v>
      </c>
      <c r="V22" s="48">
        <v>3.7294999999999989</v>
      </c>
      <c r="W22" s="32">
        <v>2.1</v>
      </c>
      <c r="X22" s="32">
        <v>1.3250000000000002</v>
      </c>
      <c r="Y22" s="32">
        <v>0.67249999999999999</v>
      </c>
      <c r="Z22" s="49">
        <v>0.24300000000000002</v>
      </c>
      <c r="AA22" s="48">
        <v>2.2619999999999991</v>
      </c>
      <c r="AB22" s="32">
        <v>1.48</v>
      </c>
      <c r="AC22" s="32">
        <v>1.1000000000000001</v>
      </c>
      <c r="AD22" s="32">
        <v>0.86</v>
      </c>
      <c r="AE22" s="49">
        <v>0.56800000000000006</v>
      </c>
      <c r="AI22" s="32"/>
      <c r="AJ22" s="32"/>
      <c r="AK22" s="32"/>
      <c r="AL22" s="32"/>
      <c r="AM22" s="32"/>
      <c r="AN22" s="32"/>
    </row>
    <row r="23" spans="1:40" x14ac:dyDescent="0.3">
      <c r="A23" t="s">
        <v>17</v>
      </c>
      <c r="B23" s="53">
        <v>27.02549999999999</v>
      </c>
      <c r="C23" s="33">
        <v>16.252499999999998</v>
      </c>
      <c r="D23" s="33">
        <v>11.385</v>
      </c>
      <c r="E23" s="33">
        <v>6.95</v>
      </c>
      <c r="F23" s="52">
        <v>2.6465000000000001</v>
      </c>
      <c r="G23" s="53">
        <v>25.924999999999997</v>
      </c>
      <c r="H23" s="33">
        <v>16.21</v>
      </c>
      <c r="I23" s="33">
        <v>11.895</v>
      </c>
      <c r="J23" s="33">
        <v>7.42</v>
      </c>
      <c r="K23" s="52">
        <v>3.1849999999999996</v>
      </c>
      <c r="L23" s="53">
        <v>28.946000000000002</v>
      </c>
      <c r="M23" s="33">
        <v>16.725000000000001</v>
      </c>
      <c r="N23" s="33">
        <v>12.94</v>
      </c>
      <c r="O23" s="33">
        <v>8.7925000000000004</v>
      </c>
      <c r="P23" s="52">
        <v>3.6330000000000005</v>
      </c>
      <c r="Q23" s="53">
        <v>28.454000000000004</v>
      </c>
      <c r="R23" s="33">
        <v>16.93</v>
      </c>
      <c r="S23" s="33">
        <v>13.22</v>
      </c>
      <c r="T23" s="33">
        <v>9.8699999999999992</v>
      </c>
      <c r="U23" s="52">
        <v>4.6079999999999997</v>
      </c>
      <c r="V23" s="53">
        <v>37.442999999999991</v>
      </c>
      <c r="W23" s="33">
        <v>21.4725</v>
      </c>
      <c r="X23" s="33">
        <v>16.814999999999998</v>
      </c>
      <c r="Y23" s="33">
        <v>12.962499999999999</v>
      </c>
      <c r="Z23" s="52">
        <v>8.0680000000000014</v>
      </c>
      <c r="AA23" s="53">
        <v>24.613999999999987</v>
      </c>
      <c r="AB23" s="33">
        <v>17.059999999999999</v>
      </c>
      <c r="AC23" s="33">
        <v>14.14</v>
      </c>
      <c r="AD23" s="33">
        <v>10.83</v>
      </c>
      <c r="AE23" s="52">
        <v>7.2220000000000004</v>
      </c>
      <c r="AI23" s="33"/>
      <c r="AJ23" s="33"/>
      <c r="AK23" s="33"/>
      <c r="AL23" s="33"/>
      <c r="AM23" s="33"/>
      <c r="AN23" s="33"/>
    </row>
    <row r="24" spans="1:40" x14ac:dyDescent="0.3">
      <c r="A24" t="s">
        <v>1</v>
      </c>
      <c r="B24" s="53">
        <v>14.964499999999974</v>
      </c>
      <c r="C24" s="33">
        <v>8.1875</v>
      </c>
      <c r="D24" s="33">
        <v>5</v>
      </c>
      <c r="E24" s="33">
        <v>2.6</v>
      </c>
      <c r="F24" s="52">
        <v>0.53650000000000009</v>
      </c>
      <c r="G24" s="53">
        <v>21.77</v>
      </c>
      <c r="H24" s="33">
        <v>11.717500000000001</v>
      </c>
      <c r="I24" s="33">
        <v>7.24</v>
      </c>
      <c r="J24" s="33">
        <v>3.8525</v>
      </c>
      <c r="K24" s="52">
        <v>0.67999999999999994</v>
      </c>
      <c r="L24" s="53">
        <v>26.695499999999999</v>
      </c>
      <c r="M24" s="33">
        <v>13.914999999999999</v>
      </c>
      <c r="N24" s="33">
        <v>9.0150000000000006</v>
      </c>
      <c r="O24" s="33">
        <v>5.7725</v>
      </c>
      <c r="P24" s="52">
        <v>1.6920000000000002</v>
      </c>
      <c r="Q24" s="53">
        <v>27.568000000000005</v>
      </c>
      <c r="R24" s="33">
        <v>13.73</v>
      </c>
      <c r="S24" s="33">
        <v>8.91</v>
      </c>
      <c r="T24" s="33">
        <v>5.86</v>
      </c>
      <c r="U24" s="52">
        <v>2.012</v>
      </c>
      <c r="V24" s="53">
        <v>39.661999999999992</v>
      </c>
      <c r="W24" s="33">
        <v>26.11</v>
      </c>
      <c r="X24" s="33">
        <v>16.39</v>
      </c>
      <c r="Y24" s="33">
        <v>10.145</v>
      </c>
      <c r="Z24" s="52">
        <v>5.2910000000000004</v>
      </c>
      <c r="AA24" s="53">
        <v>509.90799999999894</v>
      </c>
      <c r="AB24" s="33">
        <v>119.65</v>
      </c>
      <c r="AC24" s="33">
        <v>39.07</v>
      </c>
      <c r="AD24" s="33">
        <v>25.26</v>
      </c>
      <c r="AE24" s="52">
        <v>13.994</v>
      </c>
      <c r="AI24" s="33"/>
      <c r="AJ24" s="33"/>
      <c r="AK24" s="33"/>
      <c r="AL24" s="33"/>
      <c r="AM24" s="33"/>
      <c r="AN24" s="33"/>
    </row>
    <row r="25" spans="1:40" x14ac:dyDescent="0.3">
      <c r="A25" t="s">
        <v>84</v>
      </c>
      <c r="B25" s="48">
        <v>1360.855499999999</v>
      </c>
      <c r="C25" s="32">
        <v>542.02500000000009</v>
      </c>
      <c r="D25" s="32">
        <v>257.69</v>
      </c>
      <c r="E25" s="32">
        <v>78.289999999999992</v>
      </c>
      <c r="F25" s="49">
        <v>0</v>
      </c>
      <c r="G25" s="48">
        <v>1058.5025000000001</v>
      </c>
      <c r="H25" s="32">
        <v>422.05250000000001</v>
      </c>
      <c r="I25" s="32">
        <v>202.36500000000001</v>
      </c>
      <c r="J25" s="32">
        <v>61.977500000000006</v>
      </c>
      <c r="K25" s="49">
        <v>0</v>
      </c>
      <c r="L25" s="48">
        <v>997.44799999999941</v>
      </c>
      <c r="M25" s="32">
        <v>358.53999999999996</v>
      </c>
      <c r="N25" s="32">
        <v>152</v>
      </c>
      <c r="O25" s="32">
        <v>47.325000000000003</v>
      </c>
      <c r="P25" s="49">
        <v>0</v>
      </c>
      <c r="Q25" s="48">
        <v>677.88600000000008</v>
      </c>
      <c r="R25" s="32">
        <v>243.9</v>
      </c>
      <c r="S25" s="32">
        <v>117.77</v>
      </c>
      <c r="T25" s="32">
        <v>47.87</v>
      </c>
      <c r="U25" s="49">
        <v>1.5659999999999989</v>
      </c>
      <c r="V25" s="48">
        <v>312.13499999999982</v>
      </c>
      <c r="W25" s="32">
        <v>196.45</v>
      </c>
      <c r="X25" s="32">
        <v>102.715</v>
      </c>
      <c r="Y25" s="32">
        <v>48.865000000000002</v>
      </c>
      <c r="Z25" s="49">
        <v>8.2255000000000003</v>
      </c>
      <c r="AA25" s="48">
        <v>193.14999999999998</v>
      </c>
      <c r="AB25" s="32">
        <v>94.19</v>
      </c>
      <c r="AC25" s="32">
        <v>65.650000000000006</v>
      </c>
      <c r="AD25" s="32">
        <v>44.31</v>
      </c>
      <c r="AE25" s="49">
        <v>6.9120000000000008</v>
      </c>
      <c r="AI25" s="32"/>
      <c r="AJ25" s="32"/>
      <c r="AK25" s="32"/>
      <c r="AL25" s="32"/>
      <c r="AM25" s="32"/>
      <c r="AN25" s="32"/>
    </row>
    <row r="26" spans="1:40" x14ac:dyDescent="0.3">
      <c r="A26" t="s">
        <v>74</v>
      </c>
      <c r="B26" s="48">
        <v>11.350976491392391</v>
      </c>
      <c r="C26" s="32">
        <v>5.0437017391572994</v>
      </c>
      <c r="D26" s="32">
        <v>2.4208190527685503</v>
      </c>
      <c r="E26" s="32">
        <v>0.91105470716562997</v>
      </c>
      <c r="F26" s="49">
        <v>0.19724152820715901</v>
      </c>
      <c r="G26" s="48">
        <v>9.1380288517983743</v>
      </c>
      <c r="H26" s="32">
        <v>4.6688225375107999</v>
      </c>
      <c r="I26" s="32">
        <v>2.2952680868189002</v>
      </c>
      <c r="J26" s="32">
        <v>0.93450725213590502</v>
      </c>
      <c r="K26" s="49">
        <v>0.20931756042779498</v>
      </c>
      <c r="L26" s="48">
        <v>7.7457205873826647</v>
      </c>
      <c r="M26" s="32">
        <v>4.08329943491505</v>
      </c>
      <c r="N26" s="32">
        <v>2.2009169951134</v>
      </c>
      <c r="O26" s="32">
        <v>1.0235835585032249</v>
      </c>
      <c r="P26" s="49">
        <v>0.24747242974030903</v>
      </c>
      <c r="Q26" s="48">
        <v>6.9861002774903005</v>
      </c>
      <c r="R26" s="32">
        <v>3.7985526315789002</v>
      </c>
      <c r="S26" s="32">
        <v>2.1573662132960001</v>
      </c>
      <c r="T26" s="32">
        <v>1.2875207986688999</v>
      </c>
      <c r="U26" s="49">
        <v>0.275467903157748</v>
      </c>
      <c r="V26" s="48">
        <v>7.3268260142712087</v>
      </c>
      <c r="W26" s="32">
        <v>4.4105178693813754</v>
      </c>
      <c r="X26" s="32">
        <v>2.9817378265737999</v>
      </c>
      <c r="Y26" s="32">
        <v>1.4976742867562751</v>
      </c>
      <c r="Z26" s="49">
        <v>0.48545812389393705</v>
      </c>
      <c r="AA26" s="48">
        <v>4.6659460015321992</v>
      </c>
      <c r="AB26" s="32">
        <v>3.9452839288808002</v>
      </c>
      <c r="AC26" s="32">
        <v>2.8594041578886999</v>
      </c>
      <c r="AD26" s="32">
        <v>2.472975918056</v>
      </c>
      <c r="AE26" s="49">
        <v>2.15922899738336</v>
      </c>
      <c r="AI26" s="32"/>
      <c r="AJ26" s="32"/>
      <c r="AK26" s="32"/>
      <c r="AL26" s="32"/>
      <c r="AM26" s="32"/>
      <c r="AN26" s="32"/>
    </row>
    <row r="27" spans="1:40" x14ac:dyDescent="0.3">
      <c r="A27" t="s">
        <v>75</v>
      </c>
      <c r="B27" s="48">
        <v>55.172999999999973</v>
      </c>
      <c r="C27" s="32">
        <v>34.262500000000003</v>
      </c>
      <c r="D27" s="32">
        <v>18.555</v>
      </c>
      <c r="E27" s="32">
        <v>10.56</v>
      </c>
      <c r="F27" s="49">
        <v>2.5469999999999997</v>
      </c>
      <c r="G27" s="48">
        <v>55.307500000000005</v>
      </c>
      <c r="H27" s="32">
        <v>34.227499999999999</v>
      </c>
      <c r="I27" s="32">
        <v>22.365000000000002</v>
      </c>
      <c r="J27" s="32">
        <v>11.57</v>
      </c>
      <c r="K27" s="49">
        <v>4.0600000000000005</v>
      </c>
      <c r="L27" s="48">
        <v>54.151999999999987</v>
      </c>
      <c r="M27" s="32">
        <v>32.897499999999994</v>
      </c>
      <c r="N27" s="32">
        <v>23.925000000000001</v>
      </c>
      <c r="O27" s="32">
        <v>15.532499999999999</v>
      </c>
      <c r="P27" s="49">
        <v>4.6280000000000001</v>
      </c>
      <c r="Q27" s="48">
        <v>56.096000000000004</v>
      </c>
      <c r="R27" s="32">
        <v>38.67</v>
      </c>
      <c r="S27" s="32">
        <v>28.86</v>
      </c>
      <c r="T27" s="32">
        <v>20.38</v>
      </c>
      <c r="U27" s="49">
        <v>8.8099999999999987</v>
      </c>
      <c r="V27" s="48">
        <v>61.272999999999982</v>
      </c>
      <c r="W27" s="32">
        <v>48.267499999999998</v>
      </c>
      <c r="X27" s="32">
        <v>36.974999999999994</v>
      </c>
      <c r="Y27" s="32">
        <v>28.092500000000001</v>
      </c>
      <c r="Z27" s="49">
        <v>18.6905</v>
      </c>
      <c r="AA27" s="48">
        <v>57.713999999999999</v>
      </c>
      <c r="AB27" s="32">
        <v>48.63</v>
      </c>
      <c r="AC27" s="32">
        <v>44.02</v>
      </c>
      <c r="AD27" s="32">
        <v>34.700000000000003</v>
      </c>
      <c r="AE27" s="49">
        <v>17.88</v>
      </c>
      <c r="AI27" s="32"/>
      <c r="AJ27" s="32"/>
      <c r="AK27" s="32"/>
      <c r="AL27" s="32"/>
      <c r="AM27" s="32"/>
      <c r="AN27" s="32"/>
    </row>
    <row r="28" spans="1:40" ht="15" thickBot="1" x14ac:dyDescent="0.35">
      <c r="A28" t="s">
        <v>76</v>
      </c>
      <c r="B28" s="54">
        <v>2.1083387952404351</v>
      </c>
      <c r="C28" s="55">
        <v>1.32857162361365</v>
      </c>
      <c r="D28" s="55">
        <v>0.71714469150091009</v>
      </c>
      <c r="E28" s="55">
        <v>0.35840736833338249</v>
      </c>
      <c r="F28" s="56">
        <v>7.1739982343474756E-2</v>
      </c>
      <c r="G28" s="54">
        <v>2.6058265836571999</v>
      </c>
      <c r="H28" s="55">
        <v>1.7022227625254001</v>
      </c>
      <c r="I28" s="55">
        <v>1.0775410950386499</v>
      </c>
      <c r="J28" s="55">
        <v>0.43981675731058001</v>
      </c>
      <c r="K28" s="56">
        <v>0.1294216242422225</v>
      </c>
      <c r="L28" s="54">
        <v>3.235387207621184</v>
      </c>
      <c r="M28" s="55">
        <v>1.9338111081186999</v>
      </c>
      <c r="N28" s="55">
        <v>1.3174128212078999</v>
      </c>
      <c r="O28" s="55">
        <v>0.67576741835887</v>
      </c>
      <c r="P28" s="56">
        <v>0.20458868882502101</v>
      </c>
      <c r="Q28" s="54">
        <v>3.4987375158600602</v>
      </c>
      <c r="R28" s="55">
        <v>2.4553135313531</v>
      </c>
      <c r="S28" s="55">
        <v>1.7421901242861999</v>
      </c>
      <c r="T28" s="55">
        <v>1.0553765606122001</v>
      </c>
      <c r="U28" s="56">
        <v>0.341677225950412</v>
      </c>
      <c r="V28" s="54">
        <v>4.4804002750555139</v>
      </c>
      <c r="W28" s="55">
        <v>3.2662519269552499</v>
      </c>
      <c r="X28" s="55">
        <v>2.3174216107038501</v>
      </c>
      <c r="Y28" s="55">
        <v>1.6136155461420749</v>
      </c>
      <c r="Z28" s="56">
        <v>0.72911758271856952</v>
      </c>
      <c r="AA28" s="54">
        <v>5.7249711058261186</v>
      </c>
      <c r="AB28" s="55">
        <v>5.0914837819186003</v>
      </c>
      <c r="AC28" s="55">
        <v>4.4833885669183999</v>
      </c>
      <c r="AD28" s="55">
        <v>3.5399722653094998</v>
      </c>
      <c r="AE28" s="56">
        <v>3.0017001347555601</v>
      </c>
      <c r="AI28" s="32"/>
      <c r="AJ28" s="32"/>
      <c r="AK28" s="32"/>
      <c r="AL28" s="32"/>
      <c r="AM28" s="32"/>
      <c r="AN28" s="32"/>
    </row>
    <row r="31" spans="1:40" x14ac:dyDescent="0.3">
      <c r="A31" t="s">
        <v>43</v>
      </c>
    </row>
    <row r="32" spans="1:40" x14ac:dyDescent="0.3">
      <c r="A32" t="s">
        <v>56</v>
      </c>
      <c r="B32" t="s">
        <v>40</v>
      </c>
      <c r="C32" t="s">
        <v>39</v>
      </c>
      <c r="D32" t="s">
        <v>59</v>
      </c>
      <c r="E32" t="s">
        <v>58</v>
      </c>
      <c r="F32" t="s">
        <v>85</v>
      </c>
    </row>
    <row r="33" spans="1:6" x14ac:dyDescent="0.3">
      <c r="A33">
        <v>240</v>
      </c>
      <c r="B33">
        <v>256</v>
      </c>
      <c r="C33">
        <v>318</v>
      </c>
      <c r="D33">
        <v>173</v>
      </c>
      <c r="E33">
        <v>74</v>
      </c>
      <c r="F33">
        <v>13</v>
      </c>
    </row>
    <row r="34" spans="1:6" x14ac:dyDescent="0.3">
      <c r="A34" t="s">
        <v>55</v>
      </c>
    </row>
    <row r="35" spans="1:6" x14ac:dyDescent="0.3">
      <c r="A35" t="s">
        <v>60</v>
      </c>
    </row>
    <row r="36" spans="1:6" x14ac:dyDescent="0.3">
      <c r="A36" t="s">
        <v>46</v>
      </c>
    </row>
    <row r="37" spans="1:6" x14ac:dyDescent="0.3">
      <c r="A37" t="s">
        <v>47</v>
      </c>
    </row>
    <row r="38" spans="1:6" x14ac:dyDescent="0.3">
      <c r="A38" t="s">
        <v>48</v>
      </c>
    </row>
    <row r="39" spans="1:6" x14ac:dyDescent="0.3">
      <c r="A39" t="s">
        <v>49</v>
      </c>
    </row>
    <row r="42" spans="1:6" x14ac:dyDescent="0.3">
      <c r="B42" t="s">
        <v>19</v>
      </c>
      <c r="C42" t="s">
        <v>20</v>
      </c>
    </row>
    <row r="43" spans="1:6" x14ac:dyDescent="0.3">
      <c r="B43" t="s">
        <v>53</v>
      </c>
    </row>
  </sheetData>
  <mergeCells count="6">
    <mergeCell ref="AA1:AE1"/>
    <mergeCell ref="B1:F1"/>
    <mergeCell ref="G1:K1"/>
    <mergeCell ref="L1:P1"/>
    <mergeCell ref="Q1:U1"/>
    <mergeCell ref="V1:Z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tabSelected="1" view="pageLayout" zoomScaleNormal="100" workbookViewId="0">
      <selection activeCell="C30" sqref="C30:C31"/>
    </sheetView>
  </sheetViews>
  <sheetFormatPr baseColWidth="10" defaultRowHeight="14.4" x14ac:dyDescent="0.3"/>
  <cols>
    <col min="1" max="1" width="4.44140625" customWidth="1"/>
    <col min="2" max="2" width="38.44140625" customWidth="1"/>
    <col min="3" max="3" width="15.109375" customWidth="1"/>
    <col min="4" max="4" width="4.44140625" customWidth="1"/>
    <col min="5" max="5" width="46.44140625" customWidth="1"/>
    <col min="6" max="6" width="19.109375" customWidth="1"/>
  </cols>
  <sheetData>
    <row r="1" spans="1:9" s="1" customFormat="1" ht="27" customHeight="1" x14ac:dyDescent="0.25">
      <c r="A1" s="100" t="s">
        <v>18</v>
      </c>
      <c r="B1" s="100"/>
      <c r="C1" s="100"/>
      <c r="D1" s="100"/>
      <c r="E1" s="100"/>
      <c r="F1" s="100"/>
      <c r="G1" s="13"/>
      <c r="H1" s="97"/>
      <c r="I1" s="97"/>
    </row>
    <row r="2" spans="1:9" s="1" customFormat="1" ht="63.75" customHeight="1" x14ac:dyDescent="0.25">
      <c r="A2" s="105" t="s">
        <v>54</v>
      </c>
      <c r="B2" s="106"/>
      <c r="C2" s="106"/>
      <c r="D2" s="106"/>
      <c r="E2" s="106"/>
      <c r="F2" s="106"/>
      <c r="G2" s="13"/>
      <c r="H2" s="41"/>
      <c r="I2" s="41"/>
    </row>
    <row r="3" spans="1:9" s="1" customFormat="1" ht="8.4" customHeight="1" x14ac:dyDescent="0.25">
      <c r="A3" s="15"/>
      <c r="B3" s="101"/>
      <c r="C3" s="101"/>
      <c r="D3" s="101"/>
      <c r="E3" s="101"/>
      <c r="F3" s="101"/>
      <c r="G3" s="15"/>
      <c r="H3" s="15"/>
      <c r="I3" s="15"/>
    </row>
    <row r="4" spans="1:9" x14ac:dyDescent="0.3">
      <c r="A4" s="1"/>
      <c r="B4" s="7" t="s">
        <v>22</v>
      </c>
      <c r="C4" s="7" t="s">
        <v>21</v>
      </c>
      <c r="D4" s="1"/>
      <c r="E4" s="7" t="s">
        <v>15</v>
      </c>
      <c r="F4" s="7" t="str">
        <f>B29</f>
        <v>Gemeinde</v>
      </c>
    </row>
    <row r="5" spans="1:9" ht="15" customHeight="1" x14ac:dyDescent="0.3">
      <c r="A5" s="96" t="s">
        <v>27</v>
      </c>
      <c r="B5" s="25" t="s">
        <v>50</v>
      </c>
      <c r="C5" s="38"/>
      <c r="D5" s="102" t="s">
        <v>14</v>
      </c>
      <c r="E5" s="9" t="s">
        <v>13</v>
      </c>
      <c r="F5" s="60" t="e">
        <f>IF(B29="Gemeinde",(C9/C5)*1000,IF(B29="Einzugsgebiet",(C9/C6)*1000,""))</f>
        <v>#DIV/0!</v>
      </c>
    </row>
    <row r="6" spans="1:9" x14ac:dyDescent="0.3">
      <c r="A6" s="96"/>
      <c r="B6" s="25" t="s">
        <v>51</v>
      </c>
      <c r="C6" s="38"/>
      <c r="D6" s="102"/>
      <c r="E6" s="10" t="s">
        <v>69</v>
      </c>
      <c r="F6" s="20" t="e">
        <f>IF(B29="Gemeinde",(C10/C5)*1000,IF(B29="Einzugsgebiet",(C10/C6)*1000,""))</f>
        <v>#DIV/0!</v>
      </c>
    </row>
    <row r="7" spans="1:9" x14ac:dyDescent="0.3">
      <c r="A7" s="96"/>
      <c r="B7" s="25" t="s">
        <v>23</v>
      </c>
      <c r="C7" s="38"/>
      <c r="D7" s="102"/>
      <c r="E7" s="10" t="s">
        <v>12</v>
      </c>
      <c r="F7" s="20" t="e">
        <f>IF(B29="Gemeinde",((C13/40)/C5)*1000,IF(B29="Einzugsgebiet",((C13/40)/C6)*1000,""))</f>
        <v>#DIV/0!</v>
      </c>
    </row>
    <row r="8" spans="1:9" x14ac:dyDescent="0.3">
      <c r="A8" s="96"/>
      <c r="B8" s="25"/>
      <c r="C8" s="38"/>
      <c r="D8" s="102"/>
      <c r="E8" s="10" t="s">
        <v>11</v>
      </c>
      <c r="F8" s="37" t="e">
        <f>C16/(C13/40)</f>
        <v>#DIV/0!</v>
      </c>
    </row>
    <row r="9" spans="1:9" x14ac:dyDescent="0.3">
      <c r="A9" s="96"/>
      <c r="B9" s="25" t="s">
        <v>24</v>
      </c>
      <c r="C9" s="38"/>
      <c r="D9" s="102"/>
      <c r="E9" s="10" t="s">
        <v>10</v>
      </c>
      <c r="F9" s="37" t="e">
        <f>(C7*50)/(C13/40)</f>
        <v>#DIV/0!</v>
      </c>
    </row>
    <row r="10" spans="1:9" x14ac:dyDescent="0.3">
      <c r="A10" s="96"/>
      <c r="B10" s="25" t="s">
        <v>25</v>
      </c>
      <c r="C10" s="38"/>
      <c r="D10" s="102"/>
      <c r="E10" s="10" t="s">
        <v>9</v>
      </c>
      <c r="F10" s="20" t="e">
        <f>(C13/C7)</f>
        <v>#DIV/0!</v>
      </c>
    </row>
    <row r="11" spans="1:9" x14ac:dyDescent="0.3">
      <c r="A11" s="96"/>
      <c r="B11" s="25" t="s">
        <v>77</v>
      </c>
      <c r="C11" s="38"/>
      <c r="D11" s="102"/>
      <c r="E11" s="10" t="s">
        <v>64</v>
      </c>
      <c r="F11" s="20" t="e">
        <f>(C14/(C13/40))</f>
        <v>#DIV/0!</v>
      </c>
    </row>
    <row r="12" spans="1:9" ht="15" customHeight="1" thickBot="1" x14ac:dyDescent="0.35">
      <c r="A12" s="57"/>
      <c r="B12" s="26" t="s">
        <v>78</v>
      </c>
      <c r="C12" s="39"/>
      <c r="D12" s="102"/>
      <c r="E12" s="10" t="s">
        <v>8</v>
      </c>
      <c r="F12" s="20" t="e">
        <f>IF(B29="Gemeinde",C26/C5,IF(B29="Einzugsgebiet",C26/C6,""))</f>
        <v>#DIV/0!</v>
      </c>
    </row>
    <row r="13" spans="1:9" x14ac:dyDescent="0.3">
      <c r="A13" s="58" t="s">
        <v>29</v>
      </c>
      <c r="B13" s="27" t="s">
        <v>26</v>
      </c>
      <c r="C13" s="40"/>
      <c r="D13" s="102"/>
      <c r="E13" s="10" t="s">
        <v>70</v>
      </c>
      <c r="F13" s="20" t="e">
        <f>IF(B29="Gemeinde",C25/C5,IF(B29="Einzugsgebiet",C25/C6,""))</f>
        <v>#DIV/0!</v>
      </c>
    </row>
    <row r="14" spans="1:9" ht="15" thickBot="1" x14ac:dyDescent="0.35">
      <c r="A14" s="59"/>
      <c r="B14" s="26" t="s">
        <v>28</v>
      </c>
      <c r="C14" s="39"/>
      <c r="D14" s="102"/>
      <c r="E14" s="10" t="s">
        <v>71</v>
      </c>
      <c r="F14" s="20" t="e">
        <f>C25/C16</f>
        <v>#DIV/0!</v>
      </c>
    </row>
    <row r="15" spans="1:9" x14ac:dyDescent="0.3">
      <c r="A15" s="94" t="s">
        <v>30</v>
      </c>
      <c r="B15" s="27" t="s">
        <v>61</v>
      </c>
      <c r="C15" s="40"/>
      <c r="D15" s="102"/>
      <c r="E15" s="10" t="s">
        <v>7</v>
      </c>
      <c r="F15" s="20" t="e">
        <f>C26/C19</f>
        <v>#DIV/0!</v>
      </c>
    </row>
    <row r="16" spans="1:9" ht="15" thickBot="1" x14ac:dyDescent="0.35">
      <c r="A16" s="96"/>
      <c r="B16" s="25" t="s">
        <v>62</v>
      </c>
      <c r="C16" s="38"/>
      <c r="D16" s="102"/>
      <c r="E16" s="11" t="s">
        <v>72</v>
      </c>
      <c r="F16" s="84" t="e">
        <f>(C23+C24)*100/C26</f>
        <v>#DIV/0!</v>
      </c>
    </row>
    <row r="17" spans="1:6" ht="15" thickBot="1" x14ac:dyDescent="0.35">
      <c r="A17" s="95"/>
      <c r="B17" s="26" t="s">
        <v>83</v>
      </c>
      <c r="C17" s="39"/>
      <c r="D17" s="103" t="s">
        <v>6</v>
      </c>
      <c r="E17" s="12" t="s">
        <v>65</v>
      </c>
      <c r="F17" s="60" t="e">
        <f>IF(B29="Gemeinde",(C15/C5),IF(B29="Einzugsgebiet",(C15/C6),""))</f>
        <v>#DIV/0!</v>
      </c>
    </row>
    <row r="18" spans="1:6" x14ac:dyDescent="0.3">
      <c r="A18" s="94" t="s">
        <v>32</v>
      </c>
      <c r="B18" s="27" t="s">
        <v>82</v>
      </c>
      <c r="C18" s="40"/>
      <c r="D18" s="102"/>
      <c r="E18" s="10" t="s">
        <v>66</v>
      </c>
      <c r="F18" s="20" t="e">
        <f>C15/C18</f>
        <v>#DIV/0!</v>
      </c>
    </row>
    <row r="19" spans="1:6" x14ac:dyDescent="0.3">
      <c r="A19" s="96"/>
      <c r="B19" s="25" t="s">
        <v>31</v>
      </c>
      <c r="C19" s="38"/>
      <c r="D19" s="102"/>
      <c r="E19" s="10" t="s">
        <v>67</v>
      </c>
      <c r="F19" s="85" t="e">
        <f>C17*100/C15</f>
        <v>#DIV/0!</v>
      </c>
    </row>
    <row r="20" spans="1:6" ht="15" thickBot="1" x14ac:dyDescent="0.35">
      <c r="A20" s="96"/>
      <c r="B20" s="26" t="s">
        <v>79</v>
      </c>
      <c r="C20" s="39"/>
      <c r="D20" s="102"/>
      <c r="E20" s="10" t="s">
        <v>5</v>
      </c>
      <c r="F20" s="20" t="e">
        <f>IF(B29="Gemeinde",(C7*50)/(C5/1000),IF(B29="Einzugsgebiet",(C7*50)/(C6/1000),""))</f>
        <v>#DIV/0!</v>
      </c>
    </row>
    <row r="21" spans="1:6" ht="15" customHeight="1" x14ac:dyDescent="0.3">
      <c r="A21" s="94" t="s">
        <v>34</v>
      </c>
      <c r="B21" s="25" t="s">
        <v>33</v>
      </c>
      <c r="C21" s="38"/>
      <c r="D21" s="102"/>
      <c r="E21" s="10" t="s">
        <v>4</v>
      </c>
      <c r="F21" s="20" t="e">
        <f>IF(B29="Gemeinde",(C21/C5)*1000,IF(B29="Einzugsgebiet",(C21/C6)*1000,""))</f>
        <v>#DIV/0!</v>
      </c>
    </row>
    <row r="22" spans="1:6" ht="15.75" customHeight="1" thickBot="1" x14ac:dyDescent="0.35">
      <c r="A22" s="95"/>
      <c r="B22" s="26" t="s">
        <v>80</v>
      </c>
      <c r="C22" s="39"/>
      <c r="D22" s="104"/>
      <c r="E22" s="11" t="s">
        <v>73</v>
      </c>
      <c r="F22" s="61" t="e">
        <f>IF(B29="Gemeinde",(C11+C12)/(C5/1000),IF(B29="Einzugsgebiet",(C11+C12)/(C6/1000),""))</f>
        <v>#DIV/0!</v>
      </c>
    </row>
    <row r="23" spans="1:6" ht="15.75" customHeight="1" x14ac:dyDescent="0.3">
      <c r="A23" s="94" t="s">
        <v>38</v>
      </c>
      <c r="B23" s="27" t="s">
        <v>35</v>
      </c>
      <c r="C23" s="40"/>
      <c r="D23" s="103" t="s">
        <v>0</v>
      </c>
      <c r="E23" s="12" t="s">
        <v>3</v>
      </c>
      <c r="F23" s="86" t="e">
        <f>IF(B29="Gemeinde",(C18*100/C5),IF(B29="Einzugsgebiet",(C18*100/C6),""))</f>
        <v>#DIV/0!</v>
      </c>
    </row>
    <row r="24" spans="1:6" x14ac:dyDescent="0.3">
      <c r="A24" s="96"/>
      <c r="B24" s="27" t="s">
        <v>63</v>
      </c>
      <c r="C24" s="40"/>
      <c r="D24" s="102"/>
      <c r="E24" s="10" t="s">
        <v>2</v>
      </c>
      <c r="F24" s="20" t="e">
        <f>IF(B29="Gemeinde",(C19/C5),IF(B29="Einzugsgebiet",(C19/C6),""))</f>
        <v>#DIV/0!</v>
      </c>
    </row>
    <row r="25" spans="1:6" x14ac:dyDescent="0.3">
      <c r="A25" s="96"/>
      <c r="B25" s="25" t="s">
        <v>36</v>
      </c>
      <c r="C25" s="38"/>
      <c r="D25" s="102"/>
      <c r="E25" s="10" t="s">
        <v>17</v>
      </c>
      <c r="F25" s="20" t="e">
        <f>C19/C18</f>
        <v>#DIV/0!</v>
      </c>
    </row>
    <row r="26" spans="1:6" ht="15" thickBot="1" x14ac:dyDescent="0.35">
      <c r="A26" s="96"/>
      <c r="B26" s="26" t="s">
        <v>37</v>
      </c>
      <c r="C26" s="39"/>
      <c r="D26" s="102"/>
      <c r="E26" s="10" t="s">
        <v>68</v>
      </c>
      <c r="F26" s="20" t="e">
        <f>C20/(C7*50)</f>
        <v>#DIV/0!</v>
      </c>
    </row>
    <row r="27" spans="1:6" x14ac:dyDescent="0.3">
      <c r="A27" s="22"/>
      <c r="B27" s="21"/>
      <c r="C27" s="21"/>
      <c r="D27" s="102"/>
      <c r="E27" s="10" t="s">
        <v>84</v>
      </c>
      <c r="F27" s="20" t="e">
        <f>IF(B29="Gemeinde",(C22*1000/C5),IF(B29="Einzugsgebiet",(C22*1000/C6),""))</f>
        <v>#DIV/0!</v>
      </c>
    </row>
    <row r="28" spans="1:6" ht="15" customHeight="1" thickBot="1" x14ac:dyDescent="0.35">
      <c r="A28" s="22"/>
      <c r="B28" s="25" t="s">
        <v>52</v>
      </c>
      <c r="C28" s="26"/>
      <c r="D28" s="102"/>
      <c r="E28" s="10" t="s">
        <v>74</v>
      </c>
      <c r="F28" s="20" t="e">
        <f>IF(B29="Gemeinde",(C16/C5),IF(B29="Einzugsgebiet",(C16/C6),""))</f>
        <v>#DIV/0!</v>
      </c>
    </row>
    <row r="29" spans="1:6" ht="15" thickBot="1" x14ac:dyDescent="0.35">
      <c r="A29" s="23"/>
      <c r="B29" s="42" t="s">
        <v>19</v>
      </c>
      <c r="D29" s="102"/>
      <c r="E29" s="10" t="s">
        <v>75</v>
      </c>
      <c r="F29" s="20" t="e">
        <f>C16/C18</f>
        <v>#DIV/0!</v>
      </c>
    </row>
    <row r="30" spans="1:6" x14ac:dyDescent="0.3">
      <c r="A30" s="24"/>
      <c r="B30" s="98" t="str">
        <f>CONCATENATE("Kategorie aufgrund der EW",IF(B29="Gemeinde"," der Gemeinde"," des Einzugsgebietes"))</f>
        <v>Kategorie aufgrund der EW der Gemeinde</v>
      </c>
      <c r="C30" s="99" t="str">
        <f>IF(B29="Gemeinde",IF(C5&lt;=1500,"Kategorie 1",IF(AND(C5&gt;=1501,C5&lt;=2500),"Kategorie 2",IF(AND(C5&gt;=2501,C5&lt;=5000),"Kategorie 3",IF(AND(C5&gt;=5001,C5&lt;=10000),"Kategorie 4",IF(AND(C5&gt;=10001,C5&lt;=30000),"Kategorie 5a",IF(C5&gt;=30001,"Kategorie 5b-6","")))))),IF(C6&lt;1500,"Kategorie 1",IF(AND(C6&gt;=1501,C6&lt;=2500),"Kategorie 2",IF(AND(C6&gt;=2501,C6&lt;=5000),"Kategorie 3",IF(AND(C6&gt;=5001,C6&lt;=10000),"Kategorie 4",IF(AND(C6&gt;=10001,C6&lt;=30000),"Kategorie 5a",IF(C6&gt;=30001,"Kategorie 5b-6","")))))))</f>
        <v>Kategorie 1</v>
      </c>
      <c r="D30" s="102"/>
      <c r="E30" s="10" t="s">
        <v>76</v>
      </c>
      <c r="F30" s="20" t="e">
        <f>C16/C15</f>
        <v>#DIV/0!</v>
      </c>
    </row>
    <row r="31" spans="1:6" ht="5.25" customHeight="1" x14ac:dyDescent="0.3">
      <c r="A31" s="22"/>
      <c r="B31" s="98"/>
      <c r="C31" s="99"/>
    </row>
    <row r="32" spans="1:6" x14ac:dyDescent="0.3">
      <c r="A32" s="22"/>
    </row>
  </sheetData>
  <dataConsolidate/>
  <mergeCells count="14">
    <mergeCell ref="A21:A22"/>
    <mergeCell ref="A23:A26"/>
    <mergeCell ref="H1:I1"/>
    <mergeCell ref="B30:B31"/>
    <mergeCell ref="C30:C31"/>
    <mergeCell ref="A1:F1"/>
    <mergeCell ref="A5:A11"/>
    <mergeCell ref="A15:A17"/>
    <mergeCell ref="A18:A20"/>
    <mergeCell ref="B3:F3"/>
    <mergeCell ref="D5:D16"/>
    <mergeCell ref="D17:D22"/>
    <mergeCell ref="A2:F2"/>
    <mergeCell ref="D23:D30"/>
  </mergeCells>
  <pageMargins left="0.7" right="0.7" top="0.4375" bottom="0.71666666666666667"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Grunddaten!$B$42:$C$42</xm:f>
          </x14:formula1>
          <xm:sqref>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90" zoomScaleNormal="90" workbookViewId="0">
      <selection activeCell="C22" sqref="C22"/>
    </sheetView>
  </sheetViews>
  <sheetFormatPr baseColWidth="10" defaultColWidth="11.44140625" defaultRowHeight="12.6" x14ac:dyDescent="0.25"/>
  <cols>
    <col min="1" max="1" width="5" style="1" customWidth="1"/>
    <col min="2" max="2" width="44.109375" style="1" customWidth="1"/>
    <col min="3" max="9" width="8.33203125" style="1" customWidth="1"/>
    <col min="10" max="10" width="9.109375" style="1" customWidth="1"/>
    <col min="11" max="11" width="8.33203125" style="1" customWidth="1"/>
    <col min="12" max="12" width="8.88671875" style="1" customWidth="1"/>
    <col min="13" max="13" width="8.33203125" style="1" customWidth="1"/>
    <col min="14" max="14" width="5" style="1" customWidth="1"/>
    <col min="15" max="16384" width="11.44140625" style="1"/>
  </cols>
  <sheetData>
    <row r="1" spans="1:13" ht="27" customHeight="1" x14ac:dyDescent="0.25">
      <c r="A1" s="107" t="s">
        <v>42</v>
      </c>
      <c r="B1" s="107"/>
      <c r="C1" s="107"/>
      <c r="D1" s="107"/>
      <c r="E1" s="107"/>
      <c r="F1" s="108" t="str">
        <f>Rechenblatt!C30</f>
        <v>Kategorie 1</v>
      </c>
      <c r="G1" s="108"/>
      <c r="H1" s="108"/>
      <c r="I1" s="108"/>
      <c r="J1" s="108"/>
      <c r="K1" s="28"/>
      <c r="L1" s="97" t="s">
        <v>86</v>
      </c>
      <c r="M1" s="97"/>
    </row>
    <row r="2" spans="1:13" ht="18" customHeight="1" thickBot="1" x14ac:dyDescent="0.3">
      <c r="A2" s="14"/>
      <c r="B2" s="109" t="str">
        <f>IF(F$1="Kategorie 1",Grunddaten!A34,IF(F$1="Kategorie 2",Grunddaten!A35,IF(F$1="Kategorie 3",Grunddaten!A36,IF(F$1="Kategorie 4",Grunddaten!A37,IF(F$1= "Kategorie 5a",Grunddaten!A38,IF(F$1="Kategorie 5b-6",Grunddaten!A39,Grunddaten!AG33))))))</f>
        <v>Öffentliche Büchereien in Gemeinden  bis 1.500  EinwohnerInnen (Hauptversorgende Bibliotheken ohne Schul- und Sonderbüchereien)</v>
      </c>
      <c r="C2" s="110"/>
      <c r="D2" s="110"/>
      <c r="E2" s="110"/>
      <c r="F2" s="110"/>
      <c r="G2" s="110"/>
      <c r="H2" s="110"/>
      <c r="I2" s="110"/>
      <c r="J2" s="110"/>
      <c r="K2" s="110"/>
      <c r="L2" s="110"/>
      <c r="M2" s="110"/>
    </row>
    <row r="3" spans="1:13" ht="18" customHeight="1" x14ac:dyDescent="0.25">
      <c r="A3" s="15"/>
      <c r="B3" s="43" t="str">
        <f>CONCATENATE("Kategorie gemäß ",IF(Rechenblatt!B29="Gemeinde"," Gemeinde"," Einzugsgebiet"))</f>
        <v>Kategorie gemäß  Gemeinde</v>
      </c>
      <c r="C3" s="16"/>
      <c r="D3" s="17"/>
      <c r="E3" s="18" t="s">
        <v>16</v>
      </c>
      <c r="F3" s="18"/>
      <c r="G3" s="17"/>
      <c r="H3" s="17"/>
      <c r="I3" s="111" t="s">
        <v>44</v>
      </c>
      <c r="J3" s="111"/>
      <c r="K3" s="29">
        <f>IF(F$1="Kategorie 1",Grunddaten!A33,IF(F$1="Kategorie 2",Grunddaten!B33,IF(F$1="Kategorie 3",Grunddaten!C33,IF(F$1="Kategorie 4",Grunddaten!D33,IF(F$1= "Kategorie 5a",Grunddaten!E33,IF(F$1="Kategorie 5b-6",Grunddaten!F33,Grunddaten!AG33))))))</f>
        <v>240</v>
      </c>
      <c r="L3" s="17" t="s">
        <v>45</v>
      </c>
      <c r="M3" s="19"/>
    </row>
    <row r="4" spans="1:13" ht="18" customHeight="1" x14ac:dyDescent="0.25">
      <c r="B4" s="7" t="s">
        <v>15</v>
      </c>
      <c r="C4" s="4"/>
      <c r="D4" s="5">
        <v>0.05</v>
      </c>
      <c r="E4" s="6"/>
      <c r="F4" s="5">
        <v>0.25</v>
      </c>
      <c r="G4" s="6"/>
      <c r="H4" s="5">
        <v>0.5</v>
      </c>
      <c r="I4" s="3"/>
      <c r="J4" s="5">
        <v>0.75</v>
      </c>
      <c r="K4" s="3"/>
      <c r="L4" s="5">
        <v>0.95</v>
      </c>
      <c r="M4" s="8"/>
    </row>
    <row r="5" spans="1:13" ht="18" customHeight="1" x14ac:dyDescent="0.25">
      <c r="A5" s="102" t="s">
        <v>14</v>
      </c>
      <c r="B5" s="9" t="s">
        <v>13</v>
      </c>
      <c r="C5" s="62" t="e">
        <f>IF(Rechenblatt!F5&gt;='Leistungszahlen-Tabelle'!D5,Rechenblatt!F5,"")</f>
        <v>#DIV/0!</v>
      </c>
      <c r="D5" s="63">
        <f>IF($F$1="Kategorie 1",Grunddaten!B3,IF($F$1="Kategorie 2",Grunddaten!G3,IF($F$1="Kategorie 3",Grunddaten!L3,IF($F$1="Kategorie 4",Grunddaten!Q3,IF($F$1= "Kategorie 5a",Grunddaten!V3,IF($F$1="Kategorie 5b-6",Grunddaten!AA3,Grunddaten!AG3))))))</f>
        <v>148.26499999999996</v>
      </c>
      <c r="E5" s="2" t="e">
        <f>IF(AND(Rechenblatt!F5&lt;'Leistungszahlen-Tabelle'!D5,Rechenblatt!F5&gt;=F5),Rechenblatt!F5,"")</f>
        <v>#DIV/0!</v>
      </c>
      <c r="F5" s="63">
        <f>IF($F$1="Kategorie 1",Grunddaten!C3,IF($F$1="Kategorie 2",Grunddaten!H3,IF($F$1="Kategorie 3",Grunddaten!M3,IF($F$1="Kategorie 4",Grunddaten!R3,IF($F$1= "Kategorie 5a",Grunddaten!W3,IF($F$1="Kategorie 5b-6",Grunddaten!AB3,Grunddaten!AH3))))))</f>
        <v>76.502499999999998</v>
      </c>
      <c r="G5" s="2" t="e">
        <f>IF(AND(Rechenblatt!F5&lt;F5,Rechenblatt!F5&gt;=H5),Rechenblatt!F5,"")</f>
        <v>#DIV/0!</v>
      </c>
      <c r="H5" s="63">
        <f>IF($F$1="Kategorie 1",Grunddaten!D3,IF($F$1="Kategorie 2",Grunddaten!I3,IF($F$1="Kategorie 3",Grunddaten!N3,IF($F$1="Kategorie 4",Grunddaten!S3,IF($F$1= "Kategorie 5a",Grunddaten!X3,IF($F$1="Kategorie 5b-6",Grunddaten!AC3,Grunddaten!AJ3))))))</f>
        <v>56.14</v>
      </c>
      <c r="I5" s="2" t="e">
        <f>IF(AND(Rechenblatt!F5&lt;H5,Rechenblatt!F5&gt;=J5),Rechenblatt!F5,"")</f>
        <v>#DIV/0!</v>
      </c>
      <c r="J5" s="63">
        <f>IF($F$1="Kategorie 1",Grunddaten!E3,IF($F$1="Kategorie 2",Grunddaten!J3,IF($F$1="Kategorie 3",Grunddaten!O3,IF($F$1="Kategorie 4",Grunddaten!T3,IF($F$1= "Kategorie 5a",Grunddaten!Y3,IF($F$1="Kategorie 5b-6",Grunddaten!AD3,Grunddaten!AK3))))))</f>
        <v>38.907499999999999</v>
      </c>
      <c r="K5" s="2" t="e">
        <f>IF(AND(Rechenblatt!F5&lt;J5,Rechenblatt!F5&gt;=L5),Rechenblatt!F5,"")</f>
        <v>#DIV/0!</v>
      </c>
      <c r="L5" s="63">
        <f>IF($F$1="Kategorie 1",Grunddaten!F3,IF($F$1="Kategorie 2",Grunddaten!K3,IF($F$1="Kategorie 3",Grunddaten!P3,IF($F$1="Kategorie 4",Grunddaten!U3,IF($F$1= "Kategorie 5a",Grunddaten!Z3,IF($F$1="Kategorie 5b-6",Grunddaten!AE3,Grunddaten!AL3))))))</f>
        <v>20.695500000000003</v>
      </c>
      <c r="M5" s="64" t="e">
        <f>IF(Rechenblatt!F5&lt;L5,Rechenblatt!F5,"")</f>
        <v>#DIV/0!</v>
      </c>
    </row>
    <row r="6" spans="1:13" ht="18" customHeight="1" x14ac:dyDescent="0.25">
      <c r="A6" s="102"/>
      <c r="B6" s="10" t="s">
        <v>69</v>
      </c>
      <c r="C6" s="62" t="e">
        <f>IF(Rechenblatt!F6&gt;='Leistungszahlen-Tabelle'!D6,Rechenblatt!F6,"")</f>
        <v>#DIV/0!</v>
      </c>
      <c r="D6" s="63">
        <f>IF($F$1="Kategorie 1",Grunddaten!B4,IF($F$1="Kategorie 2",Grunddaten!G4,IF($F$1="Kategorie 3",Grunddaten!L4,IF($F$1="Kategorie 4",Grunddaten!Q4,IF($F$1= "Kategorie 5a",Grunddaten!V4,IF($F$1="Kategorie 5b-6",Grunddaten!AA4,Grunddaten!AG4))))))</f>
        <v>138.04399999999995</v>
      </c>
      <c r="E6" s="2" t="e">
        <f>IF(AND(Rechenblatt!F6&lt;'Leistungszahlen-Tabelle'!D6,Rechenblatt!F6&gt;=F6),Rechenblatt!F6,"")</f>
        <v>#DIV/0!</v>
      </c>
      <c r="F6" s="63">
        <f>IF($F$1="Kategorie 1",Grunddaten!C4,IF($F$1="Kategorie 2",Grunddaten!H4,IF($F$1="Kategorie 3",Grunddaten!M4,IF($F$1="Kategorie 4",Grunddaten!R4,IF($F$1= "Kategorie 5a",Grunddaten!W4,IF($F$1="Kategorie 5b-6",Grunddaten!AB4,Grunddaten!AH4))))))</f>
        <v>71.702500000000001</v>
      </c>
      <c r="G6" s="2" t="e">
        <f>IF(AND(Rechenblatt!F6&lt;F6,Rechenblatt!F6&gt;=H6),Rechenblatt!F6,"")</f>
        <v>#DIV/0!</v>
      </c>
      <c r="H6" s="63">
        <f>IF($F$1="Kategorie 1",Grunddaten!D4,IF($F$1="Kategorie 2",Grunddaten!I4,IF($F$1="Kategorie 3",Grunddaten!N4,IF($F$1="Kategorie 4",Grunddaten!S4,IF($F$1= "Kategorie 5a",Grunddaten!X4,IF($F$1="Kategorie 5b-6",Grunddaten!AC4,Grunddaten!AJ4))))))</f>
        <v>50.89</v>
      </c>
      <c r="I6" s="2" t="e">
        <f>IF(AND(Rechenblatt!F6&lt;H6,Rechenblatt!F6&gt;=J6),Rechenblatt!F6,"")</f>
        <v>#DIV/0!</v>
      </c>
      <c r="J6" s="63">
        <f>IF($F$1="Kategorie 1",Grunddaten!E4,IF($F$1="Kategorie 2",Grunddaten!J4,IF($F$1="Kategorie 3",Grunddaten!O4,IF($F$1="Kategorie 4",Grunddaten!T4,IF($F$1= "Kategorie 5a",Grunddaten!Y4,IF($F$1="Kategorie 5b-6",Grunddaten!AD4,Grunddaten!AK4))))))</f>
        <v>37.192499999999995</v>
      </c>
      <c r="K6" s="2" t="e">
        <f>IF(AND(Rechenblatt!F6&lt;J6,Rechenblatt!F6&gt;=L6),Rechenblatt!F6,"")</f>
        <v>#DIV/0!</v>
      </c>
      <c r="L6" s="63">
        <f>IF($F$1="Kategorie 1",Grunddaten!F4,IF($F$1="Kategorie 2",Grunddaten!K4,IF($F$1="Kategorie 3",Grunddaten!P4,IF($F$1="Kategorie 4",Grunddaten!U4,IF($F$1= "Kategorie 5a",Grunddaten!Z4,IF($F$1="Kategorie 5b-6",Grunddaten!AE4,Grunddaten!AL4))))))</f>
        <v>19.144500000000001</v>
      </c>
      <c r="M6" s="64" t="e">
        <f>IF(Rechenblatt!F6&lt;L6,Rechenblatt!F6,"")</f>
        <v>#DIV/0!</v>
      </c>
    </row>
    <row r="7" spans="1:13" ht="18" customHeight="1" x14ac:dyDescent="0.25">
      <c r="A7" s="102"/>
      <c r="B7" s="10" t="s">
        <v>12</v>
      </c>
      <c r="C7" s="87" t="e">
        <f>IF(Rechenblatt!F7&gt;='Leistungszahlen-Tabelle'!D7,Rechenblatt!F7,"")</f>
        <v>#DIV/0!</v>
      </c>
      <c r="D7" s="88">
        <f>IF($F$1="Kategorie 1",Grunddaten!B5,IF($F$1="Kategorie 2",Grunddaten!G5,IF($F$1="Kategorie 3",Grunddaten!L5,IF($F$1="Kategorie 4",Grunddaten!Q5,IF($F$1= "Kategorie 5a",Grunddaten!V5,IF($F$1="Kategorie 5b-6",Grunddaten!AA5,Grunddaten!AG5))))))</f>
        <v>0.87549999999999817</v>
      </c>
      <c r="E7" s="87" t="e">
        <f>IF(AND(Rechenblatt!F7&lt;'Leistungszahlen-Tabelle'!D7,Rechenblatt!F7&gt;=F7),Rechenblatt!F7,"")</f>
        <v>#DIV/0!</v>
      </c>
      <c r="F7" s="63">
        <f>IF($F$1="Kategorie 1",Grunddaten!C5,IF($F$1="Kategorie 2",Grunddaten!H5,IF($F$1="Kategorie 3",Grunddaten!M5,IF($F$1="Kategorie 4",Grunddaten!R5,IF($F$1= "Kategorie 5a",Grunddaten!W5,IF($F$1="Kategorie 5b-6",Grunddaten!AB5,Grunddaten!AH5))))))</f>
        <v>0.38</v>
      </c>
      <c r="G7" s="87" t="e">
        <f>IF(AND(Rechenblatt!F7&lt;F7,Rechenblatt!F7&gt;=H7),Rechenblatt!F7,"")</f>
        <v>#DIV/0!</v>
      </c>
      <c r="H7" s="88">
        <f>IF($F$1="Kategorie 1",Grunddaten!D5,IF($F$1="Kategorie 2",Grunddaten!I5,IF($F$1="Kategorie 3",Grunddaten!N5,IF($F$1="Kategorie 4",Grunddaten!S5,IF($F$1= "Kategorie 5a",Grunddaten!X5,IF($F$1="Kategorie 5b-6",Grunddaten!AC5,Grunddaten!AJ5))))))</f>
        <v>0.23</v>
      </c>
      <c r="I7" s="87" t="e">
        <f>IF(AND(Rechenblatt!F7&lt;H7,Rechenblatt!F7&gt;=J7),Rechenblatt!F7,"")</f>
        <v>#DIV/0!</v>
      </c>
      <c r="J7" s="88">
        <f>IF($F$1="Kategorie 1",Grunddaten!E5,IF($F$1="Kategorie 2",Grunddaten!J5,IF($F$1="Kategorie 3",Grunddaten!O5,IF($F$1="Kategorie 4",Grunddaten!T5,IF($F$1= "Kategorie 5a",Grunddaten!Y5,IF($F$1="Kategorie 5b-6",Grunddaten!AD5,Grunddaten!AK5))))))</f>
        <v>0.14000000000000001</v>
      </c>
      <c r="K7" s="87" t="e">
        <f>IF(AND(Rechenblatt!F7&lt;J7,Rechenblatt!F7&gt;=L7),Rechenblatt!F7,"")</f>
        <v>#DIV/0!</v>
      </c>
      <c r="L7" s="88">
        <f>IF($F$1="Kategorie 1",Grunddaten!F5,IF($F$1="Kategorie 2",Grunddaten!K5,IF($F$1="Kategorie 3",Grunddaten!P5,IF($F$1="Kategorie 4",Grunddaten!U5,IF($F$1= "Kategorie 5a",Grunddaten!Z5,IF($F$1="Kategorie 5b-6",Grunddaten!AE5,Grunddaten!AL5))))))</f>
        <v>0.06</v>
      </c>
      <c r="M7" s="89" t="e">
        <f>IF(Rechenblatt!F7&lt;L7,Rechenblatt!F7,"")</f>
        <v>#DIV/0!</v>
      </c>
    </row>
    <row r="8" spans="1:13" ht="18" customHeight="1" x14ac:dyDescent="0.25">
      <c r="A8" s="102"/>
      <c r="B8" s="10" t="s">
        <v>11</v>
      </c>
      <c r="C8" s="35" t="e">
        <f>IF(Rechenblatt!F8&gt;='Leistungszahlen-Tabelle'!D8,Rechenblatt!F8,"")</f>
        <v>#DIV/0!</v>
      </c>
      <c r="D8" s="65">
        <f>IF($F$1="Kategorie 1",Grunddaten!B6,IF($F$1="Kategorie 2",Grunddaten!G6,IF($F$1="Kategorie 3",Grunddaten!L6,IF($F$1="Kategorie 4",Grunddaten!Q6,IF($F$1= "Kategorie 5a",Grunddaten!V6,IF($F$1="Kategorie 5b-6",Grunddaten!AA6,Grunddaten!AG6))))))</f>
        <v>41597.154999999999</v>
      </c>
      <c r="E8" s="35" t="e">
        <f>IF(AND(Rechenblatt!F8&lt;'Leistungszahlen-Tabelle'!D8,Rechenblatt!F8&gt;=F8),Rechenblatt!F8,"")</f>
        <v>#DIV/0!</v>
      </c>
      <c r="F8" s="63">
        <f>IF($F$1="Kategorie 1",Grunddaten!C6,IF($F$1="Kategorie 2",Grunddaten!H6,IF($F$1="Kategorie 3",Grunddaten!M6,IF($F$1="Kategorie 4",Grunddaten!R6,IF($F$1= "Kategorie 5a",Grunddaten!W6,IF($F$1="Kategorie 5b-6",Grunddaten!AB6,Grunddaten!AH6))))))</f>
        <v>19009.822500000002</v>
      </c>
      <c r="G8" s="35" t="e">
        <f>IF(AND(Rechenblatt!F8&lt;F8,Rechenblatt!F8&gt;=H8),Rechenblatt!F8,"")</f>
        <v>#DIV/0!</v>
      </c>
      <c r="H8" s="65">
        <f>IF($F$1="Kategorie 1",Grunddaten!D6,IF($F$1="Kategorie 2",Grunddaten!I6,IF($F$1="Kategorie 3",Grunddaten!N6,IF($F$1="Kategorie 4",Grunddaten!S6,IF($F$1= "Kategorie 5a",Grunddaten!X6,IF($F$1="Kategorie 5b-6",Grunddaten!AC6,Grunddaten!AJ6))))))</f>
        <v>9974</v>
      </c>
      <c r="I8" s="35" t="e">
        <f>IF(AND(Rechenblatt!F8&lt;H8,Rechenblatt!F8&gt;=J8),Rechenblatt!F8,"")</f>
        <v>#DIV/0!</v>
      </c>
      <c r="J8" s="66">
        <f>IF($F$1="Kategorie 1",Grunddaten!E6,IF($F$1="Kategorie 2",Grunddaten!J6,IF($F$1="Kategorie 3",Grunddaten!O6,IF($F$1="Kategorie 4",Grunddaten!T6,IF($F$1= "Kategorie 5a",Grunddaten!Y6,IF($F$1="Kategorie 5b-6",Grunddaten!AD6,Grunddaten!AK6))))))</f>
        <v>4808.8625000000002</v>
      </c>
      <c r="K8" s="35" t="e">
        <f>IF(AND(Rechenblatt!F8&lt;J8,Rechenblatt!F8&gt;=L8),Rechenblatt!F8,"")</f>
        <v>#DIV/0!</v>
      </c>
      <c r="L8" s="66">
        <f>IF($F$1="Kategorie 1",Grunddaten!F6,IF($F$1="Kategorie 2",Grunddaten!K6,IF($F$1="Kategorie 3",Grunddaten!P6,IF($F$1="Kategorie 4",Grunddaten!U6,IF($F$1= "Kategorie 5a",Grunddaten!Z6,IF($F$1="Kategorie 5b-6",Grunddaten!AE6,Grunddaten!AL6))))))</f>
        <v>1826.0889999999999</v>
      </c>
      <c r="M8" s="67" t="e">
        <f>IF(Rechenblatt!F8&lt;L8,Rechenblatt!F8,"")</f>
        <v>#DIV/0!</v>
      </c>
    </row>
    <row r="9" spans="1:13" ht="18" customHeight="1" x14ac:dyDescent="0.25">
      <c r="A9" s="102"/>
      <c r="B9" s="10" t="s">
        <v>10</v>
      </c>
      <c r="C9" s="35" t="e">
        <f>IF(Rechenblatt!F9&gt;='Leistungszahlen-Tabelle'!D9,Rechenblatt!F9,"")</f>
        <v>#DIV/0!</v>
      </c>
      <c r="D9" s="65">
        <f>IF($F$1="Kategorie 1",Grunddaten!B7,IF($F$1="Kategorie 2",Grunddaten!G7,IF($F$1="Kategorie 3",Grunddaten!L7,IF($F$1="Kategorie 4",Grunddaten!Q7,IF($F$1= "Kategorie 5a",Grunddaten!V7,IF($F$1="Kategorie 5b-6",Grunddaten!AA7,Grunddaten!AG7))))))</f>
        <v>2018.1819999999939</v>
      </c>
      <c r="E9" s="35" t="e">
        <f>IF(AND(Rechenblatt!F9&lt;'Leistungszahlen-Tabelle'!D9,Rechenblatt!F9&gt;=F9),Rechenblatt!F9,"")</f>
        <v>#DIV/0!</v>
      </c>
      <c r="F9" s="63">
        <f>IF($F$1="Kategorie 1",Grunddaten!C7,IF($F$1="Kategorie 2",Grunddaten!H7,IF($F$1="Kategorie 3",Grunddaten!M7,IF($F$1="Kategorie 4",Grunddaten!R7,IF($F$1= "Kategorie 5a",Grunddaten!W7,IF($F$1="Kategorie 5b-6",Grunddaten!AB7,Grunddaten!AH7))))))</f>
        <v>1333.33</v>
      </c>
      <c r="G9" s="35" t="e">
        <f>IF(AND(Rechenblatt!F9&lt;F9,Rechenblatt!F9&gt;=H9),Rechenblatt!F9,"")</f>
        <v>#DIV/0!</v>
      </c>
      <c r="H9" s="66">
        <f>IF($F$1="Kategorie 1",Grunddaten!D7,IF($F$1="Kategorie 2",Grunddaten!I7,IF($F$1="Kategorie 3",Grunddaten!N7,IF($F$1="Kategorie 4",Grunddaten!S7,IF($F$1= "Kategorie 5a",Grunddaten!X7,IF($F$1="Kategorie 5b-6",Grunddaten!AC7,Grunddaten!AJ7))))))</f>
        <v>1000</v>
      </c>
      <c r="I9" s="35" t="e">
        <f>IF(AND(Rechenblatt!F9&lt;H9,Rechenblatt!F9&gt;=J9),Rechenblatt!F9,"")</f>
        <v>#DIV/0!</v>
      </c>
      <c r="J9" s="66">
        <f>IF($F$1="Kategorie 1",Grunddaten!E7,IF($F$1="Kategorie 2",Grunddaten!J7,IF($F$1="Kategorie 3",Grunddaten!O7,IF($F$1="Kategorie 4",Grunddaten!T7,IF($F$1= "Kategorie 5a",Grunddaten!Y7,IF($F$1="Kategorie 5b-6",Grunddaten!AD7,Grunddaten!AK7))))))</f>
        <v>691.38</v>
      </c>
      <c r="K9" s="35" t="e">
        <f>IF(AND(Rechenblatt!F9&lt;J9,Rechenblatt!F9&gt;=L9),Rechenblatt!F9,"")</f>
        <v>#DIV/0!</v>
      </c>
      <c r="L9" s="66">
        <f>IF($F$1="Kategorie 1",Grunddaten!F7,IF($F$1="Kategorie 2",Grunddaten!K7,IF($F$1="Kategorie 3",Grunddaten!P7,IF($F$1="Kategorie 4",Grunddaten!U7,IF($F$1= "Kategorie 5a",Grunddaten!Z7,IF($F$1="Kategorie 5b-6",Grunddaten!AE7,Grunddaten!AL7))))))</f>
        <v>391.96700000000004</v>
      </c>
      <c r="M9" s="67" t="e">
        <f>IF(Rechenblatt!F9&lt;L9,Rechenblatt!F9,"")</f>
        <v>#DIV/0!</v>
      </c>
    </row>
    <row r="10" spans="1:13" ht="18" customHeight="1" x14ac:dyDescent="0.25">
      <c r="A10" s="102"/>
      <c r="B10" s="10" t="s">
        <v>9</v>
      </c>
      <c r="C10" s="62" t="e">
        <f>IF(Rechenblatt!F10&gt;='Leistungszahlen-Tabelle'!D10,Rechenblatt!F10,"")</f>
        <v>#DIV/0!</v>
      </c>
      <c r="D10" s="63">
        <f>IF($F$1="Kategorie 1",Grunddaten!B8,IF($F$1="Kategorie 2",Grunddaten!G8,IF($F$1="Kategorie 3",Grunddaten!L8,IF($F$1="Kategorie 4",Grunddaten!Q8,IF($F$1= "Kategorie 5a",Grunddaten!V8,IF($F$1="Kategorie 5b-6",Grunddaten!AA8,Grunddaten!AG8))))))</f>
        <v>5.1019999999999959</v>
      </c>
      <c r="E10" s="2" t="e">
        <f>IF(AND(Rechenblatt!F10&lt;'Leistungszahlen-Tabelle'!D10,Rechenblatt!F10&gt;=F10),Rechenblatt!F10,"")</f>
        <v>#DIV/0!</v>
      </c>
      <c r="F10" s="63">
        <f>IF($F$1="Kategorie 1",Grunddaten!C8,IF($F$1="Kategorie 2",Grunddaten!H8,IF($F$1="Kategorie 3",Grunddaten!M8,IF($F$1="Kategorie 4",Grunddaten!R8,IF($F$1= "Kategorie 5a",Grunddaten!W8,IF($F$1="Kategorie 5b-6",Grunddaten!AB8,Grunddaten!AH8))))))</f>
        <v>2.8975</v>
      </c>
      <c r="G10" s="2" t="e">
        <f>IF(AND(Rechenblatt!F10&lt;F10,Rechenblatt!F10&gt;=H10),Rechenblatt!F10,"")</f>
        <v>#DIV/0!</v>
      </c>
      <c r="H10" s="63">
        <f>IF($F$1="Kategorie 1",Grunddaten!D8,IF($F$1="Kategorie 2",Grunddaten!I8,IF($F$1="Kategorie 3",Grunddaten!N8,IF($F$1="Kategorie 4",Grunddaten!S8,IF($F$1= "Kategorie 5a",Grunddaten!X8,IF($F$1="Kategorie 5b-6",Grunddaten!AC8,Grunddaten!AJ8))))))</f>
        <v>2</v>
      </c>
      <c r="I10" s="2" t="e">
        <f>IF(AND(Rechenblatt!F10&lt;H10,Rechenblatt!F10&gt;=J10),Rechenblatt!F10,"")</f>
        <v>#DIV/0!</v>
      </c>
      <c r="J10" s="63">
        <f>IF($F$1="Kategorie 1",Grunddaten!E8,IF($F$1="Kategorie 2",Grunddaten!J8,IF($F$1="Kategorie 3",Grunddaten!O8,IF($F$1="Kategorie 4",Grunddaten!T8,IF($F$1= "Kategorie 5a",Grunddaten!Y8,IF($F$1="Kategorie 5b-6",Grunddaten!AD8,Grunddaten!AK8))))))</f>
        <v>1.5</v>
      </c>
      <c r="K10" s="2" t="e">
        <f>IF(AND(Rechenblatt!F10&lt;J10,Rechenblatt!F10&gt;=L10),Rechenblatt!F10,"")</f>
        <v>#DIV/0!</v>
      </c>
      <c r="L10" s="63">
        <f>IF($F$1="Kategorie 1",Grunddaten!F8,IF($F$1="Kategorie 2",Grunddaten!K8,IF($F$1="Kategorie 3",Grunddaten!P8,IF($F$1="Kategorie 4",Grunddaten!U8,IF($F$1= "Kategorie 5a",Grunddaten!Z8,IF($F$1="Kategorie 5b-6",Grunddaten!AE8,Grunddaten!AL8))))))</f>
        <v>0.99250000000000016</v>
      </c>
      <c r="M10" s="64" t="e">
        <f>IF(Rechenblatt!F10&lt;L10,Rechenblatt!F10,"")</f>
        <v>#DIV/0!</v>
      </c>
    </row>
    <row r="11" spans="1:13" ht="18" customHeight="1" x14ac:dyDescent="0.25">
      <c r="A11" s="102"/>
      <c r="B11" s="10" t="s">
        <v>64</v>
      </c>
      <c r="C11" s="62" t="e">
        <f>IF(Rechenblatt!F11&gt;='Leistungszahlen-Tabelle'!D11,Rechenblatt!F11,"")</f>
        <v>#DIV/0!</v>
      </c>
      <c r="D11" s="68">
        <f>IF($F$1="Kategorie 1",Grunddaten!B9,IF($F$1="Kategorie 2",Grunddaten!G9,IF($F$1="Kategorie 3",Grunddaten!L9,IF($F$1="Kategorie 4",Grunddaten!Q9,IF($F$1= "Kategorie 5a",Grunddaten!V9,IF($F$1="Kategorie 5b-6",Grunddaten!AA9,Grunddaten!AG9))))))</f>
        <v>320.66649999999976</v>
      </c>
      <c r="E11" s="69" t="e">
        <f>IF(AND(Rechenblatt!F11&lt;'Leistungszahlen-Tabelle'!D11,Rechenblatt!F11&gt;=F11),Rechenblatt!F11,"")</f>
        <v>#DIV/0!</v>
      </c>
      <c r="F11" s="63">
        <f>IF($F$1="Kategorie 1",Grunddaten!C9,IF($F$1="Kategorie 2",Grunddaten!H9,IF($F$1="Kategorie 3",Grunddaten!M9,IF($F$1="Kategorie 4",Grunddaten!R9,IF($F$1= "Kategorie 5a",Grunddaten!W9,IF($F$1="Kategorie 5b-6",Grunddaten!AB9,Grunddaten!AH9))))))</f>
        <v>107.4025</v>
      </c>
      <c r="G11" s="69" t="e">
        <f>IF(AND(Rechenblatt!F11&lt;F11,Rechenblatt!F11&gt;=H11),Rechenblatt!F11,"")</f>
        <v>#DIV/0!</v>
      </c>
      <c r="H11" s="68">
        <f>IF($F$1="Kategorie 1",Grunddaten!D9,IF($F$1="Kategorie 2",Grunddaten!I9,IF($F$1="Kategorie 3",Grunddaten!N9,IF($F$1="Kategorie 4",Grunddaten!S9,IF($F$1= "Kategorie 5a",Grunddaten!X9,IF($F$1="Kategorie 5b-6",Grunddaten!AC9,Grunddaten!AJ9))))))</f>
        <v>42.730000000000004</v>
      </c>
      <c r="I11" s="69" t="e">
        <f>IF(AND(Rechenblatt!F11&lt;H11,Rechenblatt!F11&gt;=J11),Rechenblatt!F11,"")</f>
        <v>#DIV/0!</v>
      </c>
      <c r="J11" s="68">
        <f>IF($F$1="Kategorie 1",Grunddaten!E9,IF($F$1="Kategorie 2",Grunddaten!J9,IF($F$1="Kategorie 3",Grunddaten!O9,IF($F$1="Kategorie 4",Grunddaten!T9,IF($F$1= "Kategorie 5a",Grunddaten!Y9,IF($F$1="Kategorie 5b-6",Grunddaten!AD9,Grunddaten!AK9))))))</f>
        <v>0</v>
      </c>
      <c r="K11" s="69" t="e">
        <f>IF(AND(Rechenblatt!F11&lt;J11,Rechenblatt!F11&gt;=L11),Rechenblatt!F11,"")</f>
        <v>#DIV/0!</v>
      </c>
      <c r="L11" s="68">
        <f>IF($F$1="Kategorie 1",Grunddaten!F9,IF($F$1="Kategorie 2",Grunddaten!K9,IF($F$1="Kategorie 3",Grunddaten!P9,IF($F$1="Kategorie 4",Grunddaten!U9,IF($F$1= "Kategorie 5a",Grunddaten!Z9,IF($F$1="Kategorie 5b-6",Grunddaten!AE9,Grunddaten!AL9))))))</f>
        <v>0</v>
      </c>
      <c r="M11" s="64" t="e">
        <f>IF(Rechenblatt!F11&lt;L11,Rechenblatt!F11,"")</f>
        <v>#DIV/0!</v>
      </c>
    </row>
    <row r="12" spans="1:13" ht="18" customHeight="1" x14ac:dyDescent="0.25">
      <c r="A12" s="102"/>
      <c r="B12" s="10" t="s">
        <v>8</v>
      </c>
      <c r="C12" s="62" t="e">
        <f>IF(Rechenblatt!F12&gt;='Leistungszahlen-Tabelle'!D12,Rechenblatt!F12,"")</f>
        <v>#DIV/0!</v>
      </c>
      <c r="D12" s="63">
        <f>IF($F$1="Kategorie 1",Grunddaten!B10,IF($F$1="Kategorie 2",Grunddaten!G10,IF($F$1="Kategorie 3",Grunddaten!L10,IF($F$1="Kategorie 4",Grunddaten!Q10,IF($F$1= "Kategorie 5a",Grunddaten!V10,IF($F$1="Kategorie 5b-6",Grunddaten!AA10,Grunddaten!AG10))))))</f>
        <v>26.642499999999995</v>
      </c>
      <c r="E12" s="2" t="e">
        <f>IF(AND(Rechenblatt!F12&lt;'Leistungszahlen-Tabelle'!D12,Rechenblatt!F12&gt;=F12),Rechenblatt!F12,"")</f>
        <v>#DIV/0!</v>
      </c>
      <c r="F12" s="63">
        <f>IF($F$1="Kategorie 1",Grunddaten!C10,IF($F$1="Kategorie 2",Grunddaten!H10,IF($F$1="Kategorie 3",Grunddaten!M10,IF($F$1="Kategorie 4",Grunddaten!R10,IF($F$1= "Kategorie 5a",Grunddaten!W10,IF($F$1="Kategorie 5b-6",Grunddaten!AB10,Grunddaten!AH10))))))</f>
        <v>8.33</v>
      </c>
      <c r="G12" s="2" t="e">
        <f>IF(AND(Rechenblatt!F12&lt;F12,Rechenblatt!F12&gt;=H12),Rechenblatt!F12,"")</f>
        <v>#DIV/0!</v>
      </c>
      <c r="H12" s="63">
        <f>IF($F$1="Kategorie 1",Grunddaten!D10,IF($F$1="Kategorie 2",Grunddaten!I10,IF($F$1="Kategorie 3",Grunddaten!N10,IF($F$1="Kategorie 4",Grunddaten!S10,IF($F$1= "Kategorie 5a",Grunddaten!X10,IF($F$1="Kategorie 5b-6",Grunddaten!AC10,Grunddaten!AJ10))))))</f>
        <v>4.41</v>
      </c>
      <c r="I12" s="2" t="e">
        <f>IF(AND(Rechenblatt!F12&lt;H12,Rechenblatt!F12&gt;=J12),Rechenblatt!F12,"")</f>
        <v>#DIV/0!</v>
      </c>
      <c r="J12" s="63">
        <f>IF($F$1="Kategorie 1",Grunddaten!E10,IF($F$1="Kategorie 2",Grunddaten!J10,IF($F$1="Kategorie 3",Grunddaten!O10,IF($F$1="Kategorie 4",Grunddaten!T10,IF($F$1= "Kategorie 5a",Grunddaten!Y10,IF($F$1="Kategorie 5b-6",Grunddaten!AD10,Grunddaten!AK10))))))</f>
        <v>1.91</v>
      </c>
      <c r="K12" s="2" t="e">
        <f>IF(AND(Rechenblatt!F12&lt;J12,Rechenblatt!F12&gt;=L12),Rechenblatt!F12,"")</f>
        <v>#DIV/0!</v>
      </c>
      <c r="L12" s="63">
        <f>IF($F$1="Kategorie 1",Grunddaten!F10,IF($F$1="Kategorie 2",Grunddaten!K10,IF($F$1="Kategorie 3",Grunddaten!P10,IF($F$1="Kategorie 4",Grunddaten!U10,IF($F$1= "Kategorie 5a",Grunddaten!Z10,IF($F$1="Kategorie 5b-6",Grunddaten!AE10,Grunddaten!AL10))))))</f>
        <v>0.45950000000000002</v>
      </c>
      <c r="M12" s="64" t="e">
        <f>IF(Rechenblatt!F12&lt;L12,Rechenblatt!F12,"")</f>
        <v>#DIV/0!</v>
      </c>
    </row>
    <row r="13" spans="1:13" ht="18" customHeight="1" x14ac:dyDescent="0.25">
      <c r="A13" s="102"/>
      <c r="B13" s="10" t="s">
        <v>70</v>
      </c>
      <c r="C13" s="62" t="e">
        <f>IF(Rechenblatt!F13&gt;='Leistungszahlen-Tabelle'!D13,Rechenblatt!F13,"")</f>
        <v>#DIV/0!</v>
      </c>
      <c r="D13" s="63">
        <f>IF($F$1="Kategorie 1",Grunddaten!B11,IF($F$1="Kategorie 2",Grunddaten!G11,IF($F$1="Kategorie 3",Grunddaten!L11,IF($F$1="Kategorie 4",Grunddaten!Q11,IF($F$1= "Kategorie 5a",Grunddaten!V11,IF($F$1="Kategorie 5b-6",Grunddaten!AA11,Grunddaten!AG11))))))</f>
        <v>8.0574999999999974</v>
      </c>
      <c r="E13" s="2" t="e">
        <f>IF(AND(Rechenblatt!F13&lt;'Leistungszahlen-Tabelle'!D13,Rechenblatt!F13&gt;=F13),Rechenblatt!F13,"")</f>
        <v>#DIV/0!</v>
      </c>
      <c r="F13" s="63">
        <f>IF($F$1="Kategorie 1",Grunddaten!C11,IF($F$1="Kategorie 2",Grunddaten!H11,IF($F$1="Kategorie 3",Grunddaten!M11,IF($F$1="Kategorie 4",Grunddaten!R11,IF($F$1= "Kategorie 5a",Grunddaten!W11,IF($F$1="Kategorie 5b-6",Grunddaten!AB11,Grunddaten!AH11))))))</f>
        <v>3.6549999999999998</v>
      </c>
      <c r="G13" s="2" t="e">
        <f>IF(AND(Rechenblatt!F13&lt;F13,Rechenblatt!F13&gt;=H13),Rechenblatt!F13,"")</f>
        <v>#DIV/0!</v>
      </c>
      <c r="H13" s="63">
        <f>IF($F$1="Kategorie 1",Grunddaten!D11,IF($F$1="Kategorie 2",Grunddaten!I11,IF($F$1="Kategorie 3",Grunddaten!N11,IF($F$1="Kategorie 4",Grunddaten!S11,IF($F$1= "Kategorie 5a",Grunddaten!X11,IF($F$1="Kategorie 5b-6",Grunddaten!AC11,Grunddaten!AJ11))))))</f>
        <v>1.9550000000000001</v>
      </c>
      <c r="I13" s="2" t="e">
        <f>IF(AND(Rechenblatt!F13&lt;H13,Rechenblatt!F13&gt;=J13),Rechenblatt!F13,"")</f>
        <v>#DIV/0!</v>
      </c>
      <c r="J13" s="63">
        <f>IF($F$1="Kategorie 1",Grunddaten!E11,IF($F$1="Kategorie 2",Grunddaten!J11,IF($F$1="Kategorie 3",Grunddaten!O11,IF($F$1="Kategorie 4",Grunddaten!T11,IF($F$1= "Kategorie 5a",Grunddaten!Y11,IF($F$1="Kategorie 5b-6",Grunddaten!AD11,Grunddaten!AK11))))))</f>
        <v>0.90749999999999997</v>
      </c>
      <c r="K13" s="2" t="e">
        <f>IF(AND(Rechenblatt!F13&lt;J13,Rechenblatt!F13&gt;=L13),Rechenblatt!F13,"")</f>
        <v>#DIV/0!</v>
      </c>
      <c r="L13" s="63">
        <f>IF($F$1="Kategorie 1",Grunddaten!F11,IF($F$1="Kategorie 2",Grunddaten!K11,IF($F$1="Kategorie 3",Grunddaten!P11,IF($F$1="Kategorie 4",Grunddaten!U11,IF($F$1= "Kategorie 5a",Grunddaten!Z11,IF($F$1="Kategorie 5b-6",Grunddaten!AE11,Grunddaten!AL11))))))</f>
        <v>7.8000000000000042E-2</v>
      </c>
      <c r="M13" s="64" t="e">
        <f>IF(Rechenblatt!F13&lt;L13,Rechenblatt!F13,"")</f>
        <v>#DIV/0!</v>
      </c>
    </row>
    <row r="14" spans="1:13" ht="18" customHeight="1" x14ac:dyDescent="0.25">
      <c r="A14" s="102"/>
      <c r="B14" s="10" t="s">
        <v>71</v>
      </c>
      <c r="C14" s="70" t="e">
        <f>IF(Rechenblatt!F14&gt;='Leistungszahlen-Tabelle'!D14,Rechenblatt!F14,"")</f>
        <v>#DIV/0!</v>
      </c>
      <c r="D14" s="63">
        <f>IF($F$1="Kategorie 1",Grunddaten!B12,IF($F$1="Kategorie 2",Grunddaten!G12,IF($F$1="Kategorie 3",Grunddaten!L12,IF($F$1="Kategorie 4",Grunddaten!Q12,IF($F$1= "Kategorie 5a",Grunddaten!V12,IF($F$1="Kategorie 5b-6",Grunddaten!AA12,Grunddaten!AG12))))))</f>
        <v>3.465999999999998</v>
      </c>
      <c r="E14" s="2" t="e">
        <f>IF(AND(Rechenblatt!F14&lt;'Leistungszahlen-Tabelle'!D14,Rechenblatt!F14&gt;=F14),Rechenblatt!F14,"")</f>
        <v>#DIV/0!</v>
      </c>
      <c r="F14" s="63">
        <f>IF($F$1="Kategorie 1",Grunddaten!C12,IF($F$1="Kategorie 2",Grunddaten!H12,IF($F$1="Kategorie 3",Grunddaten!M12,IF($F$1="Kategorie 4",Grunddaten!R12,IF($F$1= "Kategorie 5a",Grunddaten!W12,IF($F$1="Kategorie 5b-6",Grunddaten!AB12,Grunddaten!AH12))))))</f>
        <v>1.2149999999999999</v>
      </c>
      <c r="G14" s="2" t="e">
        <f>IF(AND(Rechenblatt!F14&lt;F14,Rechenblatt!F14&gt;=H14),Rechenblatt!F14,"")</f>
        <v>#DIV/0!</v>
      </c>
      <c r="H14" s="63">
        <f>IF($F$1="Kategorie 1",Grunddaten!D12,IF($F$1="Kategorie 2",Grunddaten!I12,IF($F$1="Kategorie 3",Grunddaten!N12,IF($F$1="Kategorie 4",Grunddaten!S12,IF($F$1= "Kategorie 5a",Grunddaten!X12,IF($F$1="Kategorie 5b-6",Grunddaten!AC12,Grunddaten!AJ12))))))</f>
        <v>0.77500000000000002</v>
      </c>
      <c r="I14" s="2" t="e">
        <f>IF(AND(Rechenblatt!F14&lt;H14,Rechenblatt!F14&gt;=J14),Rechenblatt!F14,"")</f>
        <v>#DIV/0!</v>
      </c>
      <c r="J14" s="63">
        <f>IF($F$1="Kategorie 1",Grunddaten!E12,IF($F$1="Kategorie 2",Grunddaten!J12,IF($F$1="Kategorie 3",Grunddaten!O12,IF($F$1="Kategorie 4",Grunddaten!T12,IF($F$1= "Kategorie 5a",Grunddaten!Y12,IF($F$1="Kategorie 5b-6",Grunddaten!AD12,Grunddaten!AK12))))))</f>
        <v>0.55000000000000004</v>
      </c>
      <c r="K14" s="2" t="e">
        <f>IF(AND(Rechenblatt!F14&lt;J14,Rechenblatt!F14&gt;=L14),Rechenblatt!F14,"")</f>
        <v>#DIV/0!</v>
      </c>
      <c r="L14" s="63">
        <f>IF($F$1="Kategorie 1",Grunddaten!F12,IF($F$1="Kategorie 2",Grunddaten!K12,IF($F$1="Kategorie 3",Grunddaten!P12,IF($F$1="Kategorie 4",Grunddaten!U12,IF($F$1= "Kategorie 5a",Grunddaten!Z12,IF($F$1="Kategorie 5b-6",Grunddaten!AE12,Grunddaten!AL12))))))</f>
        <v>0.10950000000000001</v>
      </c>
      <c r="M14" s="64" t="e">
        <f>IF(Rechenblatt!F14&lt;L14,Rechenblatt!F14,"")</f>
        <v>#DIV/0!</v>
      </c>
    </row>
    <row r="15" spans="1:13" ht="18" customHeight="1" x14ac:dyDescent="0.25">
      <c r="A15" s="102"/>
      <c r="B15" s="10" t="s">
        <v>7</v>
      </c>
      <c r="C15" s="70" t="e">
        <f>IF(Rechenblatt!F15&gt;='Leistungszahlen-Tabelle'!D15,Rechenblatt!F15,"")</f>
        <v>#DIV/0!</v>
      </c>
      <c r="D15" s="63">
        <f>IF($F$1="Kategorie 1",Grunddaten!B13,IF($F$1="Kategorie 2",Grunddaten!G13,IF($F$1="Kategorie 3",Grunddaten!L13,IF($F$1="Kategorie 4",Grunddaten!Q13,IF($F$1= "Kategorie 5a",Grunddaten!V13,IF($F$1="Kategorie 5b-6",Grunddaten!AA13,Grunddaten!AG13))))))</f>
        <v>16.441999999999972</v>
      </c>
      <c r="E15" s="2" t="e">
        <f>IF(AND(Rechenblatt!F15&lt;'Leistungszahlen-Tabelle'!D15,Rechenblatt!F15&gt;=F15),Rechenblatt!F15,"")</f>
        <v>#DIV/0!</v>
      </c>
      <c r="F15" s="63">
        <f>IF($F$1="Kategorie 1",Grunddaten!C13,IF($F$1="Kategorie 2",Grunddaten!H13,IF($F$1="Kategorie 3",Grunddaten!M13,IF($F$1="Kategorie 4",Grunddaten!R13,IF($F$1= "Kategorie 5a",Grunddaten!W13,IF($F$1="Kategorie 5b-6",Grunddaten!AB13,Grunddaten!AH13))))))</f>
        <v>5.2925000000000004</v>
      </c>
      <c r="G15" s="2" t="e">
        <f>IF(AND(Rechenblatt!F15&lt;F15,Rechenblatt!F15&gt;=H15),Rechenblatt!F15,"")</f>
        <v>#DIV/0!</v>
      </c>
      <c r="H15" s="63">
        <f>IF($F$1="Kategorie 1",Grunddaten!D13,IF($F$1="Kategorie 2",Grunddaten!I13,IF($F$1="Kategorie 3",Grunddaten!N13,IF($F$1="Kategorie 4",Grunddaten!S13,IF($F$1= "Kategorie 5a",Grunddaten!X13,IF($F$1="Kategorie 5b-6",Grunddaten!AC13,Grunddaten!AJ13))))))</f>
        <v>3.0649999999999999</v>
      </c>
      <c r="I15" s="2" t="e">
        <f>IF(AND(Rechenblatt!F15&lt;H15,Rechenblatt!F15&gt;=J15),Rechenblatt!F15,"")</f>
        <v>#DIV/0!</v>
      </c>
      <c r="J15" s="63">
        <f>IF($F$1="Kategorie 1",Grunddaten!E13,IF($F$1="Kategorie 2",Grunddaten!J13,IF($F$1="Kategorie 3",Grunddaten!O13,IF($F$1="Kategorie 4",Grunddaten!T13,IF($F$1= "Kategorie 5a",Grunddaten!Y13,IF($F$1="Kategorie 5b-6",Grunddaten!AD13,Grunddaten!AK13))))))</f>
        <v>2.08</v>
      </c>
      <c r="K15" s="2" t="e">
        <f>IF(AND(Rechenblatt!F15&lt;J15,Rechenblatt!F15&gt;=L15),Rechenblatt!F15,"")</f>
        <v>#DIV/0!</v>
      </c>
      <c r="L15" s="63">
        <f>IF($F$1="Kategorie 1",Grunddaten!F13,IF($F$1="Kategorie 2",Grunddaten!K13,IF($F$1="Kategorie 3",Grunddaten!P13,IF($F$1="Kategorie 4",Grunddaten!U13,IF($F$1= "Kategorie 5a",Grunddaten!Z13,IF($F$1="Kategorie 5b-6",Grunddaten!AE13,Grunddaten!AL13))))))</f>
        <v>0.65750000000000008</v>
      </c>
      <c r="M15" s="64" t="e">
        <f>IF(Rechenblatt!F15&lt;L15,Rechenblatt!F15,"")</f>
        <v>#DIV/0!</v>
      </c>
    </row>
    <row r="16" spans="1:13" ht="18" customHeight="1" thickBot="1" x14ac:dyDescent="0.3">
      <c r="A16" s="102"/>
      <c r="B16" s="83" t="s">
        <v>81</v>
      </c>
      <c r="C16" s="71" t="e">
        <f>IF(Rechenblatt!F16&gt;='Leistungszahlen-Tabelle'!D16,Rechenblatt!F16,"")</f>
        <v>#DIV/0!</v>
      </c>
      <c r="D16" s="72">
        <f>IF($F$1="Kategorie 1",Grunddaten!B14,IF($F$1="Kategorie 2",Grunddaten!G14,IF($F$1="Kategorie 3",Grunddaten!L14,IF($F$1="Kategorie 4",Grunddaten!Q14,IF($F$1= "Kategorie 5a",Grunddaten!V14,IF($F$1="Kategorie 5b-6",Grunddaten!AA14,Grunddaten!AG14))))))</f>
        <v>110.65949999999998</v>
      </c>
      <c r="E16" s="71" t="e">
        <f>IF(AND(Rechenblatt!F16&lt;'Leistungszahlen-Tabelle'!D16,Rechenblatt!F16&gt;=F16),Rechenblatt!F16,"")</f>
        <v>#DIV/0!</v>
      </c>
      <c r="F16" s="63">
        <f>IF($F$1="Kategorie 1",Grunddaten!C14,IF($F$1="Kategorie 2",Grunddaten!H14,IF($F$1="Kategorie 3",Grunddaten!M14,IF($F$1="Kategorie 4",Grunddaten!R14,IF($F$1= "Kategorie 5a",Grunddaten!W14,IF($F$1="Kategorie 5b-6",Grunddaten!AB14,Grunddaten!AH14))))))</f>
        <v>83.8</v>
      </c>
      <c r="G16" s="71" t="e">
        <f>IF(AND(Rechenblatt!F16&lt;F16,Rechenblatt!F16&gt;=H16),Rechenblatt!F16,"")</f>
        <v>#DIV/0!</v>
      </c>
      <c r="H16" s="72">
        <f>IF($F$1="Kategorie 1",Grunddaten!D14,IF($F$1="Kategorie 2",Grunddaten!I14,IF($F$1="Kategorie 3",Grunddaten!N14,IF($F$1="Kategorie 4",Grunddaten!S14,IF($F$1= "Kategorie 5a",Grunddaten!X14,IF($F$1="Kategorie 5b-6",Grunddaten!AC14,Grunddaten!AJ14))))))</f>
        <v>56.905000000000001</v>
      </c>
      <c r="I16" s="71" t="e">
        <f>IF(AND(Rechenblatt!F16&lt;H16,Rechenblatt!F16&gt;=J16),Rechenblatt!F16,"")</f>
        <v>#DIV/0!</v>
      </c>
      <c r="J16" s="72">
        <f>IF($F$1="Kategorie 1",Grunddaten!E14,IF($F$1="Kategorie 2",Grunddaten!J14,IF($F$1="Kategorie 3",Grunddaten!O14,IF($F$1="Kategorie 4",Grunddaten!T14,IF($F$1= "Kategorie 5a",Grunddaten!Y14,IF($F$1="Kategorie 5b-6",Grunddaten!AD14,Grunddaten!AK14))))))</f>
        <v>28.2575</v>
      </c>
      <c r="K16" s="71" t="e">
        <f>IF(AND(Rechenblatt!F16&lt;J16,Rechenblatt!F16&gt;=L16),Rechenblatt!F16,"")</f>
        <v>#DIV/0!</v>
      </c>
      <c r="L16" s="72">
        <f>IF($F$1="Kategorie 1",Grunddaten!F14,IF($F$1="Kategorie 2",Grunddaten!K14,IF($F$1="Kategorie 3",Grunddaten!P14,IF($F$1="Kategorie 4",Grunddaten!U14,IF($F$1= "Kategorie 5a",Grunddaten!Z14,IF($F$1="Kategorie 5b-6",Grunddaten!AE14,Grunddaten!AL14))))))</f>
        <v>0</v>
      </c>
      <c r="M16" s="73" t="e">
        <f>IF(Rechenblatt!F16&lt;L16,Rechenblatt!F16,"")</f>
        <v>#DIV/0!</v>
      </c>
    </row>
    <row r="17" spans="1:13" ht="18" customHeight="1" x14ac:dyDescent="0.25">
      <c r="A17" s="103" t="s">
        <v>6</v>
      </c>
      <c r="B17" s="12" t="s">
        <v>65</v>
      </c>
      <c r="C17" s="74" t="e">
        <f>IF(Rechenblatt!F17&gt;='Leistungszahlen-Tabelle'!D17,Rechenblatt!F17,"")</f>
        <v>#DIV/0!</v>
      </c>
      <c r="D17" s="63">
        <f>IF($F$1="Kategorie 1",Grunddaten!B15,IF($F$1="Kategorie 2",Grunddaten!G15,IF($F$1="Kategorie 3",Grunddaten!L15,IF($F$1="Kategorie 4",Grunddaten!Q15,IF($F$1= "Kategorie 5a",Grunddaten!V15,IF($F$1="Kategorie 5b-6",Grunddaten!AA15,Grunddaten!AG15))))))</f>
        <v>7.5299999999999958</v>
      </c>
      <c r="E17" s="36" t="e">
        <f>IF(AND(Rechenblatt!F17&lt;'Leistungszahlen-Tabelle'!D17,Rechenblatt!F17&gt;=F17),Rechenblatt!F17,"")</f>
        <v>#DIV/0!</v>
      </c>
      <c r="F17" s="63">
        <f>IF($F$1="Kategorie 1",Grunddaten!C15,IF($F$1="Kategorie 2",Grunddaten!H15,IF($F$1="Kategorie 3",Grunddaten!M15,IF($F$1="Kategorie 4",Grunddaten!R15,IF($F$1= "Kategorie 5a",Grunddaten!W15,IF($F$1="Kategorie 5b-6",Grunddaten!AB15,Grunddaten!AH15))))))</f>
        <v>4.5999999999999996</v>
      </c>
      <c r="G17" s="36" t="e">
        <f>IF(AND(Rechenblatt!F17&lt;F17,Rechenblatt!F17&gt;=H17),Rechenblatt!F17,"")</f>
        <v>#DIV/0!</v>
      </c>
      <c r="H17" s="63">
        <f>IF($F$1="Kategorie 1",Grunddaten!D15,IF($F$1="Kategorie 2",Grunddaten!I15,IF($F$1="Kategorie 3",Grunddaten!N15,IF($F$1="Kategorie 4",Grunddaten!S15,IF($F$1= "Kategorie 5a",Grunddaten!X15,IF($F$1="Kategorie 5b-6",Grunddaten!AC15,Grunddaten!AJ15))))))</f>
        <v>3.4350000000000001</v>
      </c>
      <c r="I17" s="36" t="e">
        <f>IF(AND(Rechenblatt!F17&lt;H17,Rechenblatt!F17&gt;=J17),Rechenblatt!F17,"")</f>
        <v>#DIV/0!</v>
      </c>
      <c r="J17" s="63">
        <f>IF($F$1="Kategorie 1",Grunddaten!E15,IF($F$1="Kategorie 2",Grunddaten!J15,IF($F$1="Kategorie 3",Grunddaten!O15,IF($F$1="Kategorie 4",Grunddaten!T15,IF($F$1= "Kategorie 5a",Grunddaten!Y15,IF($F$1="Kategorie 5b-6",Grunddaten!AD15,Grunddaten!AK15))))))</f>
        <v>2.5249999999999999</v>
      </c>
      <c r="K17" s="36" t="e">
        <f>IF(AND(Rechenblatt!F17&lt;J17,Rechenblatt!F17&gt;=L17),Rechenblatt!F17,"")</f>
        <v>#DIV/0!</v>
      </c>
      <c r="L17" s="63">
        <f>IF($F$1="Kategorie 1",Grunddaten!F15,IF($F$1="Kategorie 2",Grunddaten!K15,IF($F$1="Kategorie 3",Grunddaten!P15,IF($F$1="Kategorie 4",Grunddaten!U15,IF($F$1= "Kategorie 5a",Grunddaten!Z15,IF($F$1="Kategorie 5b-6",Grunddaten!AE15,Grunddaten!AL15))))))</f>
        <v>1.6080000000000001</v>
      </c>
      <c r="M17" s="75" t="e">
        <f>IF(Rechenblatt!F17&lt;L17,Rechenblatt!F17,"")</f>
        <v>#DIV/0!</v>
      </c>
    </row>
    <row r="18" spans="1:13" ht="18" customHeight="1" x14ac:dyDescent="0.25">
      <c r="A18" s="102"/>
      <c r="B18" s="10" t="s">
        <v>66</v>
      </c>
      <c r="C18" s="62" t="e">
        <f>IF(Rechenblatt!F18&gt;='Leistungszahlen-Tabelle'!D18,Rechenblatt!F18,"")</f>
        <v>#DIV/0!</v>
      </c>
      <c r="D18" s="63">
        <f>IF($F$1="Kategorie 1",Grunddaten!B16,IF($F$1="Kategorie 2",Grunddaten!G16,IF($F$1="Kategorie 3",Grunddaten!L16,IF($F$1="Kategorie 4",Grunddaten!Q16,IF($F$1= "Kategorie 5a",Grunddaten!V16,IF($F$1="Kategorie 5b-6",Grunddaten!AA16,Grunddaten!AG16))))))</f>
        <v>80.897999999999897</v>
      </c>
      <c r="E18" s="2" t="e">
        <f>IF(AND(Rechenblatt!F18&lt;'Leistungszahlen-Tabelle'!D18,Rechenblatt!F18&gt;=F18),Rechenblatt!F18,"")</f>
        <v>#DIV/0!</v>
      </c>
      <c r="F18" s="63">
        <f>IF($F$1="Kategorie 1",Grunddaten!C16,IF($F$1="Kategorie 2",Grunddaten!H16,IF($F$1="Kategorie 3",Grunddaten!M16,IF($F$1="Kategorie 4",Grunddaten!R16,IF($F$1= "Kategorie 5a",Grunddaten!W16,IF($F$1="Kategorie 5b-6",Grunddaten!AB16,Grunddaten!AH16))))))</f>
        <v>38.8825</v>
      </c>
      <c r="G18" s="2" t="e">
        <f>IF(AND(Rechenblatt!F18&lt;F18,Rechenblatt!F18&gt;=H18),Rechenblatt!F18,"")</f>
        <v>#DIV/0!</v>
      </c>
      <c r="H18" s="63">
        <f>IF($F$1="Kategorie 1",Grunddaten!D16,IF($F$1="Kategorie 2",Grunddaten!I16,IF($F$1="Kategorie 3",Grunddaten!N16,IF($F$1="Kategorie 4",Grunddaten!S16,IF($F$1= "Kategorie 5a",Grunddaten!X16,IF($F$1="Kategorie 5b-6",Grunddaten!AC16,Grunddaten!AJ16))))))</f>
        <v>26.82</v>
      </c>
      <c r="I18" s="2" t="e">
        <f>IF(AND(Rechenblatt!F18&lt;H18,Rechenblatt!F18&gt;=J18),Rechenblatt!F18,"")</f>
        <v>#DIV/0!</v>
      </c>
      <c r="J18" s="63">
        <f>IF($F$1="Kategorie 1",Grunddaten!E16,IF($F$1="Kategorie 2",Grunddaten!J16,IF($F$1="Kategorie 3",Grunddaten!O16,IF($F$1="Kategorie 4",Grunddaten!T16,IF($F$1= "Kategorie 5a",Grunddaten!Y16,IF($F$1="Kategorie 5b-6",Grunddaten!AD16,Grunddaten!AK16))))))</f>
        <v>20.76</v>
      </c>
      <c r="K18" s="2" t="e">
        <f>IF(AND(Rechenblatt!F18&lt;J18,Rechenblatt!F18&gt;=L18),Rechenblatt!F18,"")</f>
        <v>#DIV/0!</v>
      </c>
      <c r="L18" s="63">
        <f>IF($F$1="Kategorie 1",Grunddaten!F16,IF($F$1="Kategorie 2",Grunddaten!K16,IF($F$1="Kategorie 3",Grunddaten!P16,IF($F$1="Kategorie 4",Grunddaten!U16,IF($F$1= "Kategorie 5a",Grunddaten!Z16,IF($F$1="Kategorie 5b-6",Grunddaten!AE16,Grunddaten!AL16))))))</f>
        <v>10.557</v>
      </c>
      <c r="M18" s="64" t="e">
        <f>IF(Rechenblatt!F18&lt;L18,Rechenblatt!F18,"")</f>
        <v>#DIV/0!</v>
      </c>
    </row>
    <row r="19" spans="1:13" ht="18" customHeight="1" x14ac:dyDescent="0.25">
      <c r="A19" s="102"/>
      <c r="B19" s="10" t="s">
        <v>67</v>
      </c>
      <c r="C19" s="62" t="e">
        <f>IF(Rechenblatt!F19&gt;='Leistungszahlen-Tabelle'!D19,Rechenblatt!F19,"")</f>
        <v>#DIV/0!</v>
      </c>
      <c r="D19" s="76">
        <f>IF($F$1="Kategorie 1",Grunddaten!B17,IF($F$1="Kategorie 2",Grunddaten!G17,IF($F$1="Kategorie 3",Grunddaten!L17,IF($F$1="Kategorie 4",Grunddaten!Q17,IF($F$1= "Kategorie 5a",Grunddaten!V17,IF($F$1="Kategorie 5b-6",Grunddaten!AA17,Grunddaten!AG17))))))</f>
        <v>17.02153538442294</v>
      </c>
      <c r="E19" s="62" t="e">
        <f>IF(AND(Rechenblatt!F19&lt;'Leistungszahlen-Tabelle'!D19,Rechenblatt!F19&gt;=F19),Rechenblatt!F19,"")</f>
        <v>#DIV/0!</v>
      </c>
      <c r="F19" s="63">
        <f>IF($F$1="Kategorie 1",Grunddaten!C17,IF($F$1="Kategorie 2",Grunddaten!H17,IF($F$1="Kategorie 3",Grunddaten!M17,IF($F$1="Kategorie 4",Grunddaten!R17,IF($F$1= "Kategorie 5a",Grunddaten!W17,IF($F$1="Kategorie 5b-6",Grunddaten!AB17,Grunddaten!AH17))))))</f>
        <v>10.29415529799075</v>
      </c>
      <c r="G19" s="62" t="e">
        <f>IF(AND(Rechenblatt!F19&lt;F19,Rechenblatt!F19&gt;=H19),Rechenblatt!F19,"")</f>
        <v>#DIV/0!</v>
      </c>
      <c r="H19" s="76">
        <f>IF($F$1="Kategorie 1",Grunddaten!D17,IF($F$1="Kategorie 2",Grunddaten!I17,IF($F$1="Kategorie 3",Grunddaten!N17,IF($F$1="Kategorie 4",Grunddaten!S17,IF($F$1= "Kategorie 5a",Grunddaten!X17,IF($F$1="Kategorie 5b-6",Grunddaten!AC17,Grunddaten!AJ17))))))</f>
        <v>7.1709573181507498</v>
      </c>
      <c r="I19" s="62" t="e">
        <f>IF(AND(Rechenblatt!F19&lt;H19,Rechenblatt!F19&gt;=J19),Rechenblatt!F19,"")</f>
        <v>#DIV/0!</v>
      </c>
      <c r="J19" s="76">
        <f>IF($F$1="Kategorie 1",Grunddaten!E17,IF($F$1="Kategorie 2",Grunddaten!J17,IF($F$1="Kategorie 3",Grunddaten!O17,IF($F$1="Kategorie 4",Grunddaten!T17,IF($F$1= "Kategorie 5a",Grunddaten!Y17,IF($F$1="Kategorie 5b-6",Grunddaten!AD17,Grunddaten!AK17))))))</f>
        <v>4.3386092760240498</v>
      </c>
      <c r="K19" s="62" t="e">
        <f>IF(AND(Rechenblatt!F19&lt;J19,Rechenblatt!F19&gt;=L19),Rechenblatt!F19,"")</f>
        <v>#DIV/0!</v>
      </c>
      <c r="L19" s="76">
        <f>IF($F$1="Kategorie 1",Grunddaten!F17,IF($F$1="Kategorie 2",Grunddaten!K17,IF($F$1="Kategorie 3",Grunddaten!P17,IF($F$1="Kategorie 4",Grunddaten!U17,IF($F$1= "Kategorie 5a",Grunddaten!Z17,IF($F$1="Kategorie 5b-6",Grunddaten!AE17,Grunddaten!AL17))))))</f>
        <v>0.51233472269310154</v>
      </c>
      <c r="M19" s="64" t="e">
        <f>IF(Rechenblatt!F19&lt;L19,Rechenblatt!F19,"")</f>
        <v>#DIV/0!</v>
      </c>
    </row>
    <row r="20" spans="1:13" ht="18" customHeight="1" x14ac:dyDescent="0.25">
      <c r="A20" s="102"/>
      <c r="B20" s="10" t="s">
        <v>5</v>
      </c>
      <c r="C20" s="62" t="e">
        <f>IF(Rechenblatt!F20&gt;='Leistungszahlen-Tabelle'!D20,Rechenblatt!F20,"")</f>
        <v>#DIV/0!</v>
      </c>
      <c r="D20" s="63">
        <f>IF($F$1="Kategorie 1",Grunddaten!B18,IF($F$1="Kategorie 2",Grunddaten!G18,IF($F$1="Kategorie 3",Grunddaten!L18,IF($F$1="Kategorie 4",Grunddaten!Q18,IF($F$1= "Kategorie 5a",Grunddaten!V18,IF($F$1="Kategorie 5b-6",Grunddaten!AA18,Grunddaten!AG18))))))</f>
        <v>1078.0689999999988</v>
      </c>
      <c r="E20" s="2" t="e">
        <f>IF(AND(Rechenblatt!F20&lt;'Leistungszahlen-Tabelle'!D20,Rechenblatt!F20&gt;=F20),Rechenblatt!F20,"")</f>
        <v>#DIV/0!</v>
      </c>
      <c r="F20" s="63">
        <f>IF($F$1="Kategorie 1",Grunddaten!C18,IF($F$1="Kategorie 2",Grunddaten!H18,IF($F$1="Kategorie 3",Grunddaten!M18,IF($F$1="Kategorie 4",Grunddaten!R18,IF($F$1= "Kategorie 5a",Grunddaten!W18,IF($F$1="Kategorie 5b-6",Grunddaten!AB18,Grunddaten!AH18))))))</f>
        <v>346.5675</v>
      </c>
      <c r="G20" s="2" t="e">
        <f>IF(AND(Rechenblatt!F20&lt;F20,Rechenblatt!F20&gt;=H20),Rechenblatt!F20,"")</f>
        <v>#DIV/0!</v>
      </c>
      <c r="H20" s="63">
        <f>IF($F$1="Kategorie 1",Grunddaten!D18,IF($F$1="Kategorie 2",Grunddaten!I18,IF($F$1="Kategorie 3",Grunddaten!N18,IF($F$1="Kategorie 4",Grunddaten!S18,IF($F$1= "Kategorie 5a",Grunddaten!X18,IF($F$1="Kategorie 5b-6",Grunddaten!AC18,Grunddaten!AJ18))))))</f>
        <v>218.44499999999999</v>
      </c>
      <c r="I20" s="2" t="e">
        <f>IF(AND(Rechenblatt!F20&lt;H20,Rechenblatt!F20&gt;=J20),Rechenblatt!F20,"")</f>
        <v>#DIV/0!</v>
      </c>
      <c r="J20" s="63">
        <f>IF($F$1="Kategorie 1",Grunddaten!E18,IF($F$1="Kategorie 2",Grunddaten!J18,IF($F$1="Kategorie 3",Grunddaten!O18,IF($F$1="Kategorie 4",Grunddaten!T18,IF($F$1= "Kategorie 5a",Grunddaten!Y18,IF($F$1="Kategorie 5b-6",Grunddaten!AD18,Grunddaten!AK18))))))</f>
        <v>156.6225</v>
      </c>
      <c r="K20" s="2" t="e">
        <f>IF(AND(Rechenblatt!F20&lt;J20,Rechenblatt!F20&gt;=L20),Rechenblatt!F20,"")</f>
        <v>#DIV/0!</v>
      </c>
      <c r="L20" s="63">
        <f>IF($F$1="Kategorie 1",Grunddaten!F18,IF($F$1="Kategorie 2",Grunddaten!K18,IF($F$1="Kategorie 3",Grunddaten!P18,IF($F$1="Kategorie 4",Grunddaten!U18,IF($F$1= "Kategorie 5a",Grunddaten!Z18,IF($F$1="Kategorie 5b-6",Grunddaten!AE18,Grunddaten!AL18))))))</f>
        <v>69.441500000000005</v>
      </c>
      <c r="M20" s="64" t="e">
        <f>IF(Rechenblatt!F20&lt;L20,Rechenblatt!F20,"")</f>
        <v>#DIV/0!</v>
      </c>
    </row>
    <row r="21" spans="1:13" ht="18" customHeight="1" x14ac:dyDescent="0.25">
      <c r="A21" s="102"/>
      <c r="B21" s="10" t="s">
        <v>4</v>
      </c>
      <c r="C21" s="62" t="e">
        <f>IF(Rechenblatt!F21&gt;='Leistungszahlen-Tabelle'!D21,Rechenblatt!F21,"")</f>
        <v>#DIV/0!</v>
      </c>
      <c r="D21" s="63">
        <f>IF($F$1="Kategorie 1",Grunddaten!B19,IF($F$1="Kategorie 2",Grunddaten!G19,IF($F$1="Kategorie 3",Grunddaten!L19,IF($F$1="Kategorie 4",Grunddaten!Q19,IF($F$1= "Kategorie 5a",Grunddaten!V19,IF($F$1="Kategorie 5b-6",Grunddaten!AA19,Grunddaten!AG19))))))</f>
        <v>66.47999999999999</v>
      </c>
      <c r="E21" s="2" t="e">
        <f>IF(AND(Rechenblatt!F21&lt;'Leistungszahlen-Tabelle'!D21,Rechenblatt!F21&gt;=F21),Rechenblatt!F21,"")</f>
        <v>#DIV/0!</v>
      </c>
      <c r="F21" s="63">
        <f>IF($F$1="Kategorie 1",Grunddaten!C19,IF($F$1="Kategorie 2",Grunddaten!H19,IF($F$1="Kategorie 3",Grunddaten!M19,IF($F$1="Kategorie 4",Grunddaten!R19,IF($F$1= "Kategorie 5a",Grunddaten!W19,IF($F$1="Kategorie 5b-6",Grunddaten!AB19,Grunddaten!AH19))))))</f>
        <v>21.53</v>
      </c>
      <c r="G21" s="2" t="e">
        <f>IF(AND(Rechenblatt!F21&lt;F21,Rechenblatt!F21&gt;=H21),Rechenblatt!F21,"")</f>
        <v>#DIV/0!</v>
      </c>
      <c r="H21" s="63">
        <f>IF($F$1="Kategorie 1",Grunddaten!D19,IF($F$1="Kategorie 2",Grunddaten!I19,IF($F$1="Kategorie 3",Grunddaten!N19,IF($F$1="Kategorie 4",Grunddaten!S19,IF($F$1= "Kategorie 5a",Grunddaten!X19,IF($F$1="Kategorie 5b-6",Grunddaten!AC19,Grunddaten!AJ19))))))</f>
        <v>10</v>
      </c>
      <c r="I21" s="2" t="e">
        <f>IF(AND(Rechenblatt!F21&lt;H21,Rechenblatt!F21&gt;=J21),Rechenblatt!F21,"")</f>
        <v>#DIV/0!</v>
      </c>
      <c r="J21" s="63">
        <f>IF($F$1="Kategorie 1",Grunddaten!E19,IF($F$1="Kategorie 2",Grunddaten!J19,IF($F$1="Kategorie 3",Grunddaten!O19,IF($F$1="Kategorie 4",Grunddaten!T19,IF($F$1= "Kategorie 5a",Grunddaten!Y19,IF($F$1="Kategorie 5b-6",Grunddaten!AD19,Grunddaten!AK19))))))</f>
        <v>3.3775000000000004</v>
      </c>
      <c r="K21" s="2" t="e">
        <f>IF(AND(Rechenblatt!F21&lt;J21,Rechenblatt!F21&gt;=L21),Rechenblatt!F21,"")</f>
        <v>#DIV/0!</v>
      </c>
      <c r="L21" s="63">
        <f>IF($F$1="Kategorie 1",Grunddaten!F19,IF($F$1="Kategorie 2",Grunddaten!K19,IF($F$1="Kategorie 3",Grunddaten!P19,IF($F$1="Kategorie 4",Grunddaten!U19,IF($F$1= "Kategorie 5a",Grunddaten!Z19,IF($F$1="Kategorie 5b-6",Grunddaten!AE19,Grunddaten!AL19))))))</f>
        <v>0</v>
      </c>
      <c r="M21" s="64" t="e">
        <f>IF(Rechenblatt!F21&lt;L21,Rechenblatt!F21,"")</f>
        <v>#DIV/0!</v>
      </c>
    </row>
    <row r="22" spans="1:13" ht="18" customHeight="1" thickBot="1" x14ac:dyDescent="0.3">
      <c r="A22" s="104"/>
      <c r="B22" s="11" t="s">
        <v>73</v>
      </c>
      <c r="C22" s="71" t="e">
        <f>IF(Rechenblatt!F22&gt;='Leistungszahlen-Tabelle'!D22,Rechenblatt!F22,"")</f>
        <v>#DIV/0!</v>
      </c>
      <c r="D22" s="77">
        <f>IF($F$1="Kategorie 1",Grunddaten!B20,IF($F$1="Kategorie 2",Grunddaten!G20,IF($F$1="Kategorie 3",Grunddaten!L20,IF($F$1="Kategorie 4",Grunddaten!Q20,IF($F$1= "Kategorie 5a",Grunddaten!V20,IF($F$1="Kategorie 5b-6",Grunddaten!AA20,Grunddaten!AG20))))))</f>
        <v>8.6794999999999938</v>
      </c>
      <c r="E22" s="78" t="e">
        <f>IF(AND(Rechenblatt!F22&lt;'Leistungszahlen-Tabelle'!D22,Rechenblatt!F22&gt;=F22),Rechenblatt!F22,"")</f>
        <v>#DIV/0!</v>
      </c>
      <c r="F22" s="63">
        <f>IF($F$1="Kategorie 1",Grunddaten!C20,IF($F$1="Kategorie 2",Grunddaten!H20,IF($F$1="Kategorie 3",Grunddaten!M20,IF($F$1="Kategorie 4",Grunddaten!R20,IF($F$1= "Kategorie 5a",Grunddaten!W20,IF($F$1="Kategorie 5b-6",Grunddaten!AB20,Grunddaten!AH20))))))</f>
        <v>1.1425000000000001</v>
      </c>
      <c r="G22" s="78" t="e">
        <f>IF(AND(Rechenblatt!F22&lt;F22,Rechenblatt!F22&gt;=H22),Rechenblatt!F22,"")</f>
        <v>#DIV/0!</v>
      </c>
      <c r="H22" s="77">
        <f>IF($F$1="Kategorie 1",Grunddaten!D20,IF($F$1="Kategorie 2",Grunddaten!I20,IF($F$1="Kategorie 3",Grunddaten!N20,IF($F$1="Kategorie 4",Grunddaten!S20,IF($F$1= "Kategorie 5a",Grunddaten!X20,IF($F$1="Kategorie 5b-6",Grunddaten!AC20,Grunddaten!AJ20))))))</f>
        <v>0</v>
      </c>
      <c r="I22" s="78" t="e">
        <f>IF(AND(Rechenblatt!F22&lt;H22,Rechenblatt!F22&gt;=J22),Rechenblatt!F22,"")</f>
        <v>#DIV/0!</v>
      </c>
      <c r="J22" s="77">
        <f>IF($F$1="Kategorie 1",Grunddaten!E20,IF($F$1="Kategorie 2",Grunddaten!J20,IF($F$1="Kategorie 3",Grunddaten!O20,IF($F$1="Kategorie 4",Grunddaten!T20,IF($F$1= "Kategorie 5a",Grunddaten!Y20,IF($F$1="Kategorie 5b-6",Grunddaten!AD20,Grunddaten!AK20))))))</f>
        <v>0</v>
      </c>
      <c r="K22" s="78" t="e">
        <f>IF(AND(Rechenblatt!F22&lt;J22,Rechenblatt!F22&gt;=L22),Rechenblatt!F22,"")</f>
        <v>#DIV/0!</v>
      </c>
      <c r="L22" s="77">
        <f>IF($F$1="Kategorie 1",Grunddaten!F20,IF($F$1="Kategorie 2",Grunddaten!K20,IF($F$1="Kategorie 3",Grunddaten!P20,IF($F$1="Kategorie 4",Grunddaten!U20,IF($F$1= "Kategorie 5a",Grunddaten!Z20,IF($F$1="Kategorie 5b-6",Grunddaten!AE20,Grunddaten!AL20))))))</f>
        <v>0</v>
      </c>
      <c r="M22" s="73" t="e">
        <f>IF(Rechenblatt!F22&lt;L22,Rechenblatt!F22,"")</f>
        <v>#DIV/0!</v>
      </c>
    </row>
    <row r="23" spans="1:13" ht="18" customHeight="1" x14ac:dyDescent="0.25">
      <c r="A23" s="103" t="s">
        <v>0</v>
      </c>
      <c r="B23" s="12" t="s">
        <v>3</v>
      </c>
      <c r="C23" s="74" t="e">
        <f>IF(Rechenblatt!F23&gt;='Leistungszahlen-Tabelle'!D23,Rechenblatt!F23,"")</f>
        <v>#DIV/0!</v>
      </c>
      <c r="D23" s="76">
        <f>IF($F$1="Kategorie 1",Grunddaten!B21,IF($F$1="Kategorie 2",Grunddaten!G21,IF($F$1="Kategorie 3",Grunddaten!L21,IF($F$1="Kategorie 4",Grunddaten!Q21,IF($F$1= "Kategorie 5a",Grunddaten!V21,IF($F$1="Kategorie 5b-6",Grunddaten!AA21,Grunddaten!AG21))))))</f>
        <v>34.552999999999983</v>
      </c>
      <c r="E23" s="74" t="e">
        <f>IF(AND(Rechenblatt!F23&lt;'Leistungszahlen-Tabelle'!D23,Rechenblatt!F23&gt;=F23),Rechenblatt!F23,"")</f>
        <v>#DIV/0!</v>
      </c>
      <c r="F23" s="63">
        <f>IF($F$1="Kategorie 1",Grunddaten!C21,IF($F$1="Kategorie 2",Grunddaten!H21,IF($F$1="Kategorie 3",Grunddaten!M21,IF($F$1="Kategorie 4",Grunddaten!R21,IF($F$1= "Kategorie 5a",Grunddaten!W21,IF($F$1="Kategorie 5b-6",Grunddaten!AB21,Grunddaten!AH21))))))</f>
        <v>18.72</v>
      </c>
      <c r="G23" s="74" t="e">
        <f>IF(AND(Rechenblatt!F23&lt;F23,Rechenblatt!F23&gt;=H23),Rechenblatt!F23,"")</f>
        <v>#DIV/0!</v>
      </c>
      <c r="H23" s="76">
        <f>IF($F$1="Kategorie 1",Grunddaten!D21,IF($F$1="Kategorie 2",Grunddaten!I21,IF($F$1="Kategorie 3",Grunddaten!N21,IF($F$1="Kategorie 4",Grunddaten!S21,IF($F$1= "Kategorie 5a",Grunddaten!X21,IF($F$1="Kategorie 5b-6",Grunddaten!AC21,Grunddaten!AJ21))))))</f>
        <v>12.484999999999999</v>
      </c>
      <c r="I23" s="74" t="e">
        <f>IF(AND(Rechenblatt!F23&lt;H23,Rechenblatt!F23&gt;=J23),Rechenblatt!F23,"")</f>
        <v>#DIV/0!</v>
      </c>
      <c r="J23" s="76">
        <f>IF($F$1="Kategorie 1",Grunddaten!E21,IF($F$1="Kategorie 2",Grunddaten!J21,IF($F$1="Kategorie 3",Grunddaten!O21,IF($F$1="Kategorie 4",Grunddaten!T21,IF($F$1= "Kategorie 5a",Grunddaten!Y21,IF($F$1="Kategorie 5b-6",Grunddaten!AD21,Grunddaten!AK21))))))</f>
        <v>8.41</v>
      </c>
      <c r="K23" s="74" t="e">
        <f>IF(AND(Rechenblatt!F23&lt;J23,Rechenblatt!F23&gt;=L23),Rechenblatt!F23,"")</f>
        <v>#DIV/0!</v>
      </c>
      <c r="L23" s="76">
        <f>IF($F$1="Kategorie 1",Grunddaten!F21,IF($F$1="Kategorie 2",Grunddaten!K21,IF($F$1="Kategorie 3",Grunddaten!P21,IF($F$1="Kategorie 4",Grunddaten!U21,IF($F$1= "Kategorie 5a",Grunddaten!Z21,IF($F$1="Kategorie 5b-6",Grunddaten!AE21,Grunddaten!AL21))))))</f>
        <v>3.516</v>
      </c>
      <c r="M23" s="75" t="e">
        <f>IF(Rechenblatt!F23&lt;L23,Rechenblatt!F23,"")</f>
        <v>#DIV/0!</v>
      </c>
    </row>
    <row r="24" spans="1:13" ht="18" customHeight="1" x14ac:dyDescent="0.25">
      <c r="A24" s="102"/>
      <c r="B24" s="10" t="s">
        <v>2</v>
      </c>
      <c r="C24" s="62" t="e">
        <f>IF(Rechenblatt!F24&gt;='Leistungszahlen-Tabelle'!D24,Rechenblatt!F24,"")</f>
        <v>#DIV/0!</v>
      </c>
      <c r="D24" s="63">
        <f>IF($F$1="Kategorie 1",Grunddaten!B22,IF($F$1="Kategorie 2",Grunddaten!G22,IF($F$1="Kategorie 3",Grunddaten!L22,IF($F$1="Kategorie 4",Grunddaten!Q22,IF($F$1= "Kategorie 5a",Grunddaten!V22,IF($F$1="Kategorie 5b-6",Grunddaten!AA22,Grunddaten!AG22))))))</f>
        <v>5.4409999999999963</v>
      </c>
      <c r="E24" s="2" t="e">
        <f>IF(AND(Rechenblatt!F24&lt;'Leistungszahlen-Tabelle'!D24,Rechenblatt!F24&gt;=F24),Rechenblatt!F24,"")</f>
        <v>#DIV/0!</v>
      </c>
      <c r="F24" s="63">
        <f>IF($F$1="Kategorie 1",Grunddaten!C22,IF($F$1="Kategorie 2",Grunddaten!H22,IF($F$1="Kategorie 3",Grunddaten!M22,IF($F$1="Kategorie 4",Grunddaten!R22,IF($F$1= "Kategorie 5a",Grunddaten!W22,IF($F$1="Kategorie 5b-6",Grunddaten!AB22,Grunddaten!AH22))))))</f>
        <v>2.5024999999999999</v>
      </c>
      <c r="G24" s="2" t="e">
        <f>IF(AND(Rechenblatt!F24&lt;F24,Rechenblatt!F24&gt;=H24),Rechenblatt!F24,"")</f>
        <v>#DIV/0!</v>
      </c>
      <c r="H24" s="63">
        <f>IF($F$1="Kategorie 1",Grunddaten!D22,IF($F$1="Kategorie 2",Grunddaten!I22,IF($F$1="Kategorie 3",Grunddaten!N22,IF($F$1="Kategorie 4",Grunddaten!S22,IF($F$1= "Kategorie 5a",Grunddaten!X22,IF($F$1="Kategorie 5b-6",Grunddaten!AC22,Grunddaten!AJ22))))))</f>
        <v>1.4750000000000001</v>
      </c>
      <c r="I24" s="2" t="e">
        <f>IF(AND(Rechenblatt!F24&lt;H24,Rechenblatt!F24&gt;=J24),Rechenblatt!F24,"")</f>
        <v>#DIV/0!</v>
      </c>
      <c r="J24" s="63">
        <f>IF($F$1="Kategorie 1",Grunddaten!E22,IF($F$1="Kategorie 2",Grunddaten!J22,IF($F$1="Kategorie 3",Grunddaten!O22,IF($F$1="Kategorie 4",Grunddaten!T22,IF($F$1= "Kategorie 5a",Grunddaten!Y22,IF($F$1="Kategorie 5b-6",Grunddaten!AD22,Grunddaten!AK22))))))</f>
        <v>0.64749999999999996</v>
      </c>
      <c r="K24" s="2" t="e">
        <f>IF(AND(Rechenblatt!F24&lt;J24,Rechenblatt!F24&gt;=L24),Rechenblatt!F24,"")</f>
        <v>#DIV/0!</v>
      </c>
      <c r="L24" s="63">
        <f>IF($F$1="Kategorie 1",Grunddaten!F22,IF($F$1="Kategorie 2",Grunddaten!K22,IF($F$1="Kategorie 3",Grunddaten!P22,IF($F$1="Kategorie 4",Grunddaten!U22,IF($F$1= "Kategorie 5a",Grunddaten!Z22,IF($F$1="Kategorie 5b-6",Grunddaten!AE22,Grunddaten!AL22))))))</f>
        <v>0.1895</v>
      </c>
      <c r="M24" s="64" t="e">
        <f>IF(Rechenblatt!F24&lt;L24,Rechenblatt!F24,"")</f>
        <v>#DIV/0!</v>
      </c>
    </row>
    <row r="25" spans="1:13" ht="18" customHeight="1" x14ac:dyDescent="0.25">
      <c r="A25" s="102"/>
      <c r="B25" s="10" t="s">
        <v>17</v>
      </c>
      <c r="C25" s="62" t="e">
        <f>IF(Rechenblatt!F25&gt;='Leistungszahlen-Tabelle'!D25,Rechenblatt!F25,"")</f>
        <v>#DIV/0!</v>
      </c>
      <c r="D25" s="63">
        <f>IF($F$1="Kategorie 1",Grunddaten!B23,IF($F$1="Kategorie 2",Grunddaten!G23,IF($F$1="Kategorie 3",Grunddaten!L23,IF($F$1="Kategorie 4",Grunddaten!Q23,IF($F$1= "Kategorie 5a",Grunddaten!V23,IF($F$1="Kategorie 5b-6",Grunddaten!AA23,Grunddaten!AG23))))))</f>
        <v>27.02549999999999</v>
      </c>
      <c r="E25" s="2" t="e">
        <f>IF(AND(Rechenblatt!F25&lt;'Leistungszahlen-Tabelle'!D25,Rechenblatt!F25&gt;=F25),Rechenblatt!F25,"")</f>
        <v>#DIV/0!</v>
      </c>
      <c r="F25" s="63">
        <f>IF($F$1="Kategorie 1",Grunddaten!C23,IF($F$1="Kategorie 2",Grunddaten!H23,IF($F$1="Kategorie 3",Grunddaten!M23,IF($F$1="Kategorie 4",Grunddaten!R23,IF($F$1= "Kategorie 5a",Grunddaten!W23,IF($F$1="Kategorie 5b-6",Grunddaten!AB23,Grunddaten!AH23))))))</f>
        <v>16.252499999999998</v>
      </c>
      <c r="G25" s="2" t="e">
        <f>IF(AND(Rechenblatt!F25&lt;F25,Rechenblatt!F25&gt;=H25),Rechenblatt!F25,"")</f>
        <v>#DIV/0!</v>
      </c>
      <c r="H25" s="63">
        <f>IF($F$1="Kategorie 1",Grunddaten!D23,IF($F$1="Kategorie 2",Grunddaten!I23,IF($F$1="Kategorie 3",Grunddaten!N23,IF($F$1="Kategorie 4",Grunddaten!S23,IF($F$1= "Kategorie 5a",Grunddaten!X23,IF($F$1="Kategorie 5b-6",Grunddaten!AC23,Grunddaten!AJ23))))))</f>
        <v>11.385</v>
      </c>
      <c r="I25" s="2" t="e">
        <f>IF(AND(Rechenblatt!F25&lt;H25,Rechenblatt!F25&gt;=J25),Rechenblatt!F25,"")</f>
        <v>#DIV/0!</v>
      </c>
      <c r="J25" s="63">
        <f>IF($F$1="Kategorie 1",Grunddaten!E23,IF($F$1="Kategorie 2",Grunddaten!J23,IF($F$1="Kategorie 3",Grunddaten!O23,IF($F$1="Kategorie 4",Grunddaten!T23,IF($F$1= "Kategorie 5a",Grunddaten!Y23,IF($F$1="Kategorie 5b-6",Grunddaten!AD23,Grunddaten!AK23))))))</f>
        <v>6.95</v>
      </c>
      <c r="K25" s="2" t="e">
        <f>IF(AND(Rechenblatt!F25&lt;J25,Rechenblatt!F25&gt;=L25),Rechenblatt!F25,"")</f>
        <v>#DIV/0!</v>
      </c>
      <c r="L25" s="63">
        <f>IF($F$1="Kategorie 1",Grunddaten!F23,IF($F$1="Kategorie 2",Grunddaten!K23,IF($F$1="Kategorie 3",Grunddaten!P23,IF($F$1="Kategorie 4",Grunddaten!U23,IF($F$1= "Kategorie 5a",Grunddaten!Z23,IF($F$1="Kategorie 5b-6",Grunddaten!AE23,Grunddaten!AL23))))))</f>
        <v>2.6465000000000001</v>
      </c>
      <c r="M25" s="64" t="e">
        <f>IF(Rechenblatt!F25&lt;L25,Rechenblatt!F25,"")</f>
        <v>#DIV/0!</v>
      </c>
    </row>
    <row r="26" spans="1:13" ht="18" customHeight="1" x14ac:dyDescent="0.25">
      <c r="A26" s="102"/>
      <c r="B26" s="10" t="s">
        <v>1</v>
      </c>
      <c r="C26" s="62" t="e">
        <f>IF(Rechenblatt!F26&gt;='Leistungszahlen-Tabelle'!D26,Rechenblatt!F26,"")</f>
        <v>#DIV/0!</v>
      </c>
      <c r="D26" s="63">
        <f>IF($F$1="Kategorie 1",Grunddaten!B24,IF($F$1="Kategorie 2",Grunddaten!G24,IF($F$1="Kategorie 3",Grunddaten!L24,IF($F$1="Kategorie 4",Grunddaten!Q24,IF($F$1= "Kategorie 5a",Grunddaten!V24,IF($F$1="Kategorie 5b-6",Grunddaten!AA24,Grunddaten!AG24))))))</f>
        <v>14.964499999999974</v>
      </c>
      <c r="E26" s="2" t="e">
        <f>IF(AND(Rechenblatt!F26&lt;'Leistungszahlen-Tabelle'!D26,Rechenblatt!F26&gt;=F26),Rechenblatt!F26,"")</f>
        <v>#DIV/0!</v>
      </c>
      <c r="F26" s="63">
        <f>IF($F$1="Kategorie 1",Grunddaten!C24,IF($F$1="Kategorie 2",Grunddaten!H24,IF($F$1="Kategorie 3",Grunddaten!M24,IF($F$1="Kategorie 4",Grunddaten!R24,IF($F$1= "Kategorie 5a",Grunddaten!W24,IF($F$1="Kategorie 5b-6",Grunddaten!AB24,Grunddaten!AH24))))))</f>
        <v>8.1875</v>
      </c>
      <c r="G26" s="2" t="e">
        <f>IF(AND(Rechenblatt!F26&lt;F26,Rechenblatt!F26&gt;=H26),Rechenblatt!F26,"")</f>
        <v>#DIV/0!</v>
      </c>
      <c r="H26" s="63">
        <f>IF($F$1="Kategorie 1",Grunddaten!D24,IF($F$1="Kategorie 2",Grunddaten!I24,IF($F$1="Kategorie 3",Grunddaten!N24,IF($F$1="Kategorie 4",Grunddaten!S24,IF($F$1= "Kategorie 5a",Grunddaten!X24,IF($F$1="Kategorie 5b-6",Grunddaten!AC24,Grunddaten!AJ24))))))</f>
        <v>5</v>
      </c>
      <c r="I26" s="2" t="e">
        <f>IF(AND(Rechenblatt!F26&lt;H26,Rechenblatt!F26&gt;=J26),Rechenblatt!F26,"")</f>
        <v>#DIV/0!</v>
      </c>
      <c r="J26" s="63">
        <f>IF($F$1="Kategorie 1",Grunddaten!E24,IF($F$1="Kategorie 2",Grunddaten!J24,IF($F$1="Kategorie 3",Grunddaten!O24,IF($F$1="Kategorie 4",Grunddaten!T24,IF($F$1= "Kategorie 5a",Grunddaten!Y24,IF($F$1="Kategorie 5b-6",Grunddaten!AD24,Grunddaten!AK24))))))</f>
        <v>2.6</v>
      </c>
      <c r="K26" s="2" t="e">
        <f>IF(AND(Rechenblatt!F26&lt;J26,Rechenblatt!F26&gt;=L26),Rechenblatt!F26,"")</f>
        <v>#DIV/0!</v>
      </c>
      <c r="L26" s="63">
        <f>IF($F$1="Kategorie 1",Grunddaten!F24,IF($F$1="Kategorie 2",Grunddaten!K24,IF($F$1="Kategorie 3",Grunddaten!P24,IF($F$1="Kategorie 4",Grunddaten!U24,IF($F$1= "Kategorie 5a",Grunddaten!Z24,IF($F$1="Kategorie 5b-6",Grunddaten!AE24,Grunddaten!AL24))))))</f>
        <v>0.53650000000000009</v>
      </c>
      <c r="M26" s="64" t="e">
        <f>IF(Rechenblatt!F26&lt;L26,Rechenblatt!F26,"")</f>
        <v>#DIV/0!</v>
      </c>
    </row>
    <row r="27" spans="1:13" ht="18" customHeight="1" x14ac:dyDescent="0.25">
      <c r="A27" s="102"/>
      <c r="B27" s="10" t="s">
        <v>84</v>
      </c>
      <c r="C27" s="62" t="e">
        <f>IF(Rechenblatt!F27&gt;='Leistungszahlen-Tabelle'!D27,Rechenblatt!F27,"")</f>
        <v>#DIV/0!</v>
      </c>
      <c r="D27" s="63">
        <f>IF($F$1="Kategorie 1",Grunddaten!B25,IF($F$1="Kategorie 2",Grunddaten!G25,IF($F$1="Kategorie 3",Grunddaten!L25,IF($F$1="Kategorie 4",Grunddaten!Q25,IF($F$1= "Kategorie 5a",Grunddaten!V25,IF($F$1="Kategorie 5b-6",Grunddaten!AA25,Grunddaten!AG25))))))</f>
        <v>1360.855499999999</v>
      </c>
      <c r="E27" s="2" t="e">
        <f>IF(AND(Rechenblatt!F27&lt;'Leistungszahlen-Tabelle'!D27,Rechenblatt!F27&gt;=F27),Rechenblatt!F27,"")</f>
        <v>#DIV/0!</v>
      </c>
      <c r="F27" s="63">
        <f>IF($F$1="Kategorie 1",Grunddaten!C25,IF($F$1="Kategorie 2",Grunddaten!H25,IF($F$1="Kategorie 3",Grunddaten!M25,IF($F$1="Kategorie 4",Grunddaten!R25,IF($F$1= "Kategorie 5a",Grunddaten!W25,IF($F$1="Kategorie 5b-6",Grunddaten!AB25,Grunddaten!AH25))))))</f>
        <v>542.02500000000009</v>
      </c>
      <c r="G27" s="2" t="e">
        <f>IF(AND(Rechenblatt!F27&lt;F27,Rechenblatt!F27&gt;=H27),Rechenblatt!F27,"")</f>
        <v>#DIV/0!</v>
      </c>
      <c r="H27" s="63">
        <f>IF($F$1="Kategorie 1",Grunddaten!D25,IF($F$1="Kategorie 2",Grunddaten!I25,IF($F$1="Kategorie 3",Grunddaten!N25,IF($F$1="Kategorie 4",Grunddaten!S25,IF($F$1= "Kategorie 5a",Grunddaten!X25,IF($F$1="Kategorie 5b-6",Grunddaten!AC25,Grunddaten!AJ25))))))</f>
        <v>257.69</v>
      </c>
      <c r="I27" s="2" t="e">
        <f>IF(AND(Rechenblatt!F27&lt;H27,Rechenblatt!F27&gt;=J27),Rechenblatt!F27,"")</f>
        <v>#DIV/0!</v>
      </c>
      <c r="J27" s="63">
        <f>IF($F$1="Kategorie 1",Grunddaten!E25,IF($F$1="Kategorie 2",Grunddaten!J25,IF($F$1="Kategorie 3",Grunddaten!O25,IF($F$1="Kategorie 4",Grunddaten!T25,IF($F$1= "Kategorie 5a",Grunddaten!Y25,IF($F$1="Kategorie 5b-6",Grunddaten!AD25,Grunddaten!AK25))))))</f>
        <v>78.289999999999992</v>
      </c>
      <c r="K27" s="2" t="e">
        <f>IF(AND(Rechenblatt!F27&lt;J27,Rechenblatt!F27&gt;=L27),Rechenblatt!F27,"")</f>
        <v>#DIV/0!</v>
      </c>
      <c r="L27" s="63">
        <f>IF($F$1="Kategorie 1",Grunddaten!F25,IF($F$1="Kategorie 2",Grunddaten!K25,IF($F$1="Kategorie 3",Grunddaten!P25,IF($F$1="Kategorie 4",Grunddaten!U25,IF($F$1= "Kategorie 5a",Grunddaten!Z25,IF($F$1="Kategorie 5b-6",Grunddaten!AE25,Grunddaten!AL25))))))</f>
        <v>0</v>
      </c>
      <c r="M27" s="64" t="e">
        <f>IF(Rechenblatt!F27&lt;L27,Rechenblatt!F27,"")</f>
        <v>#DIV/0!</v>
      </c>
    </row>
    <row r="28" spans="1:13" ht="18" customHeight="1" x14ac:dyDescent="0.25">
      <c r="A28" s="102"/>
      <c r="B28" s="10" t="s">
        <v>74</v>
      </c>
      <c r="C28" s="62" t="e">
        <f>IF(Rechenblatt!F28&gt;='Leistungszahlen-Tabelle'!D28,Rechenblatt!F28,"")</f>
        <v>#DIV/0!</v>
      </c>
      <c r="D28" s="63">
        <f>IF($F$1="Kategorie 1",Grunddaten!B26,IF($F$1="Kategorie 2",Grunddaten!G26,IF($F$1="Kategorie 3",Grunddaten!L26,IF($F$1="Kategorie 4",Grunddaten!Q26,IF($F$1= "Kategorie 5a",Grunddaten!V26,IF($F$1="Kategorie 5b-6",Grunddaten!AA26,Grunddaten!AG26))))))</f>
        <v>11.350976491392391</v>
      </c>
      <c r="E28" s="2" t="e">
        <f>IF(AND(Rechenblatt!F28&lt;'Leistungszahlen-Tabelle'!D28,Rechenblatt!F28&gt;=F28),Rechenblatt!F28,"")</f>
        <v>#DIV/0!</v>
      </c>
      <c r="F28" s="63">
        <f>IF($F$1="Kategorie 1",Grunddaten!C26,IF($F$1="Kategorie 2",Grunddaten!H26,IF($F$1="Kategorie 3",Grunddaten!M26,IF($F$1="Kategorie 4",Grunddaten!R26,IF($F$1= "Kategorie 5a",Grunddaten!W26,IF($F$1="Kategorie 5b-6",Grunddaten!AB26,Grunddaten!AH26))))))</f>
        <v>5.0437017391572994</v>
      </c>
      <c r="G28" s="2" t="e">
        <f>IF(AND(Rechenblatt!F28&lt;F28,Rechenblatt!F28&gt;=H28),Rechenblatt!F28,"")</f>
        <v>#DIV/0!</v>
      </c>
      <c r="H28" s="63">
        <f>IF($F$1="Kategorie 1",Grunddaten!D26,IF($F$1="Kategorie 2",Grunddaten!I26,IF($F$1="Kategorie 3",Grunddaten!N26,IF($F$1="Kategorie 4",Grunddaten!S26,IF($F$1= "Kategorie 5a",Grunddaten!X26,IF($F$1="Kategorie 5b-6",Grunddaten!AC26,Grunddaten!AJ26))))))</f>
        <v>2.4208190527685503</v>
      </c>
      <c r="I28" s="2" t="e">
        <f>IF(AND(Rechenblatt!F28&lt;H28,Rechenblatt!F28&gt;=J28),Rechenblatt!F28,"")</f>
        <v>#DIV/0!</v>
      </c>
      <c r="J28" s="63">
        <f>IF($F$1="Kategorie 1",Grunddaten!E26,IF($F$1="Kategorie 2",Grunddaten!J26,IF($F$1="Kategorie 3",Grunddaten!O26,IF($F$1="Kategorie 4",Grunddaten!T26,IF($F$1= "Kategorie 5a",Grunddaten!Y26,IF($F$1="Kategorie 5b-6",Grunddaten!AD26,Grunddaten!AK26))))))</f>
        <v>0.91105470716562997</v>
      </c>
      <c r="K28" s="2" t="e">
        <f>IF(AND(Rechenblatt!F28&lt;J28,Rechenblatt!F28&gt;=L28),Rechenblatt!F28,"")</f>
        <v>#DIV/0!</v>
      </c>
      <c r="L28" s="63">
        <f>IF($F$1="Kategorie 1",Grunddaten!F26,IF($F$1="Kategorie 2",Grunddaten!K26,IF($F$1="Kategorie 3",Grunddaten!P26,IF($F$1="Kategorie 4",Grunddaten!U26,IF($F$1= "Kategorie 5a",Grunddaten!Z26,IF($F$1="Kategorie 5b-6",Grunddaten!AE26,Grunddaten!AL26))))))</f>
        <v>0.19724152820715901</v>
      </c>
      <c r="M28" s="64" t="e">
        <f>IF(Rechenblatt!F28&lt;L28,Rechenblatt!F28,"")</f>
        <v>#DIV/0!</v>
      </c>
    </row>
    <row r="29" spans="1:13" ht="18" customHeight="1" x14ac:dyDescent="0.25">
      <c r="A29" s="102"/>
      <c r="B29" s="10" t="s">
        <v>75</v>
      </c>
      <c r="C29" s="62" t="e">
        <f>IF(Rechenblatt!F29&gt;='Leistungszahlen-Tabelle'!D29,Rechenblatt!F29,"")</f>
        <v>#DIV/0!</v>
      </c>
      <c r="D29" s="63">
        <f>IF($F$1="Kategorie 1",Grunddaten!B27,IF($F$1="Kategorie 2",Grunddaten!G27,IF($F$1="Kategorie 3",Grunddaten!L27,IF($F$1="Kategorie 4",Grunddaten!Q27,IF($F$1= "Kategorie 5a",Grunddaten!V27,IF($F$1="Kategorie 5b-6",Grunddaten!AA27,Grunddaten!AG27))))))</f>
        <v>55.172999999999973</v>
      </c>
      <c r="E29" s="2" t="e">
        <f>IF(AND(Rechenblatt!F29&lt;'Leistungszahlen-Tabelle'!D29,Rechenblatt!F29&gt;=F29),Rechenblatt!F29,"")</f>
        <v>#DIV/0!</v>
      </c>
      <c r="F29" s="63">
        <f>IF($F$1="Kategorie 1",Grunddaten!C27,IF($F$1="Kategorie 2",Grunddaten!H27,IF($F$1="Kategorie 3",Grunddaten!M27,IF($F$1="Kategorie 4",Grunddaten!R27,IF($F$1= "Kategorie 5a",Grunddaten!W27,IF($F$1="Kategorie 5b-6",Grunddaten!AB27,Grunddaten!AH27))))))</f>
        <v>34.262500000000003</v>
      </c>
      <c r="G29" s="2" t="e">
        <f>IF(AND(Rechenblatt!F29&lt;F29,Rechenblatt!F29&gt;=H29),Rechenblatt!F29,"")</f>
        <v>#DIV/0!</v>
      </c>
      <c r="H29" s="63">
        <f>IF($F$1="Kategorie 1",Grunddaten!D27,IF($F$1="Kategorie 2",Grunddaten!I27,IF($F$1="Kategorie 3",Grunddaten!N27,IF($F$1="Kategorie 4",Grunddaten!S27,IF($F$1= "Kategorie 5a",Grunddaten!X27,IF($F$1="Kategorie 5b-6",Grunddaten!AC27,Grunddaten!AJ27))))))</f>
        <v>18.555</v>
      </c>
      <c r="I29" s="2" t="e">
        <f>IF(AND(Rechenblatt!F29&lt;H29,Rechenblatt!F29&gt;=J29),Rechenblatt!F29,"")</f>
        <v>#DIV/0!</v>
      </c>
      <c r="J29" s="63">
        <f>IF($F$1="Kategorie 1",Grunddaten!E27,IF($F$1="Kategorie 2",Grunddaten!J27,IF($F$1="Kategorie 3",Grunddaten!O27,IF($F$1="Kategorie 4",Grunddaten!T27,IF($F$1= "Kategorie 5a",Grunddaten!Y27,IF($F$1="Kategorie 5b-6",Grunddaten!AD27,Grunddaten!AK27))))))</f>
        <v>10.56</v>
      </c>
      <c r="K29" s="2" t="e">
        <f>IF(AND(Rechenblatt!F29&lt;J29,Rechenblatt!F29&gt;=L29),Rechenblatt!F29,"")</f>
        <v>#DIV/0!</v>
      </c>
      <c r="L29" s="63">
        <f>IF($F$1="Kategorie 1",Grunddaten!F27,IF($F$1="Kategorie 2",Grunddaten!K27,IF($F$1="Kategorie 3",Grunddaten!P27,IF($F$1="Kategorie 4",Grunddaten!U27,IF($F$1= "Kategorie 5a",Grunddaten!Z27,IF($F$1="Kategorie 5b-6",Grunddaten!AE27,Grunddaten!AL27))))))</f>
        <v>2.5469999999999997</v>
      </c>
      <c r="M29" s="64" t="e">
        <f>IF(Rechenblatt!F29&lt;L29,Rechenblatt!F29,"")</f>
        <v>#DIV/0!</v>
      </c>
    </row>
    <row r="30" spans="1:13" ht="18" customHeight="1" thickBot="1" x14ac:dyDescent="0.3">
      <c r="A30" s="102"/>
      <c r="B30" s="10" t="s">
        <v>76</v>
      </c>
      <c r="C30" s="79" t="e">
        <f>IF(Rechenblatt!F30&gt;='Leistungszahlen-Tabelle'!D30,Rechenblatt!F30,"")</f>
        <v>#DIV/0!</v>
      </c>
      <c r="D30" s="80">
        <f>IF($F$1="Kategorie 1",Grunddaten!B28,IF($F$1="Kategorie 2",Grunddaten!G28,IF($F$1="Kategorie 3",Grunddaten!L28,IF($F$1="Kategorie 4",Grunddaten!Q28,IF($F$1= "Kategorie 5a",Grunddaten!V28,IF($F$1="Kategorie 5b-6",Grunddaten!AA28,Grunddaten!AG28))))))</f>
        <v>2.1083387952404351</v>
      </c>
      <c r="E30" s="81" t="e">
        <f>IF(AND(Rechenblatt!F30&lt;'Leistungszahlen-Tabelle'!D30,Rechenblatt!F30&gt;=F30),Rechenblatt!F30,"")</f>
        <v>#DIV/0!</v>
      </c>
      <c r="F30" s="63">
        <f>IF($F$1="Kategorie 1",Grunddaten!C28,IF($F$1="Kategorie 2",Grunddaten!H28,IF($F$1="Kategorie 3",Grunddaten!M28,IF($F$1="Kategorie 4",Grunddaten!R28,IF($F$1= "Kategorie 5a",Grunddaten!W28,IF($F$1="Kategorie 5b-6",Grunddaten!AB28,Grunddaten!AH28))))))</f>
        <v>1.32857162361365</v>
      </c>
      <c r="G30" s="81" t="e">
        <f>IF(AND(Rechenblatt!F30&lt;F30,Rechenblatt!F30&gt;=H30),Rechenblatt!F30,"")</f>
        <v>#DIV/0!</v>
      </c>
      <c r="H30" s="80">
        <f>IF($F$1="Kategorie 1",Grunddaten!D28,IF($F$1="Kategorie 2",Grunddaten!I28,IF($F$1="Kategorie 3",Grunddaten!N28,IF($F$1="Kategorie 4",Grunddaten!S28,IF($F$1= "Kategorie 5a",Grunddaten!X28,IF($F$1="Kategorie 5b-6",Grunddaten!AC28,Grunddaten!AJ28))))))</f>
        <v>0.71714469150091009</v>
      </c>
      <c r="I30" s="81" t="e">
        <f>IF(AND(Rechenblatt!F30&lt;H30,Rechenblatt!F30&gt;=J30),Rechenblatt!F30,"")</f>
        <v>#DIV/0!</v>
      </c>
      <c r="J30" s="80">
        <f>IF($F$1="Kategorie 1",Grunddaten!E28,IF($F$1="Kategorie 2",Grunddaten!J28,IF($F$1="Kategorie 3",Grunddaten!O28,IF($F$1="Kategorie 4",Grunddaten!T28,IF($F$1= "Kategorie 5a",Grunddaten!Y28,IF($F$1="Kategorie 5b-6",Grunddaten!AD28,Grunddaten!AK28))))))</f>
        <v>0.35840736833338249</v>
      </c>
      <c r="K30" s="81" t="e">
        <f>IF(AND(Rechenblatt!F30&lt;J30,Rechenblatt!F30&gt;=L30),Rechenblatt!F30,"")</f>
        <v>#DIV/0!</v>
      </c>
      <c r="L30" s="80">
        <f>IF($F$1="Kategorie 1",Grunddaten!F28,IF($F$1="Kategorie 2",Grunddaten!K28,IF($F$1="Kategorie 3",Grunddaten!P28,IF($F$1="Kategorie 4",Grunddaten!U28,IF($F$1= "Kategorie 5a",Grunddaten!Z28,IF($F$1="Kategorie 5b-6",Grunddaten!AE28,Grunddaten!AL28))))))</f>
        <v>7.1739982343474756E-2</v>
      </c>
      <c r="M30" s="82" t="e">
        <f>IF(Rechenblatt!F30&lt;L30,Rechenblatt!F30,"")</f>
        <v>#DIV/0!</v>
      </c>
    </row>
  </sheetData>
  <sheetProtection algorithmName="SHA-512" hashValue="LN6iauUG0rRUrQQrvjDNhnoHtjBscLFAkibe6PptOsNngk3NJZzu3j8fclyXCtwuOpsmsytVl8l7/uysCzahag==" saltValue="5ds1B2bpBeE5/0ZwVDbxSg==" spinCount="100000" sheet="1" objects="1" scenarios="1"/>
  <mergeCells count="8">
    <mergeCell ref="A23:A30"/>
    <mergeCell ref="A1:E1"/>
    <mergeCell ref="F1:J1"/>
    <mergeCell ref="L1:M1"/>
    <mergeCell ref="B2:M2"/>
    <mergeCell ref="I3:J3"/>
    <mergeCell ref="A5:A16"/>
    <mergeCell ref="A17:A22"/>
  </mergeCells>
  <pageMargins left="0.7" right="0.7" top="0.78740157499999996" bottom="0.78740157499999996" header="0.3" footer="0.3"/>
  <pageSetup paperSize="9" orientation="portrait" r:id="rId1"/>
  <ignoredErrors>
    <ignoredError sqref="H5:H30 J5:J3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2729D3A3AF5B4A899E101F08FF93C7" ma:contentTypeVersion="12" ma:contentTypeDescription="Ein neues Dokument erstellen." ma:contentTypeScope="" ma:versionID="5546d4f221cb1e4e72050af69be94b72">
  <xsd:schema xmlns:xsd="http://www.w3.org/2001/XMLSchema" xmlns:xs="http://www.w3.org/2001/XMLSchema" xmlns:p="http://schemas.microsoft.com/office/2006/metadata/properties" xmlns:ns2="9886eac4-90fc-4ec0-aad7-f55326d5e354" xmlns:ns3="c275eca4-2b57-46c1-873e-024541665c05" targetNamespace="http://schemas.microsoft.com/office/2006/metadata/properties" ma:root="true" ma:fieldsID="0b98cf04f374b08334e53a5e6a0ddf9f" ns2:_="" ns3:_="">
    <xsd:import namespace="9886eac4-90fc-4ec0-aad7-f55326d5e354"/>
    <xsd:import namespace="c275eca4-2b57-46c1-873e-024541665c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86eac4-90fc-4ec0-aad7-f55326d5e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77e42802-739e-4915-9282-6a68d03df9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75eca4-2b57-46c1-873e-024541665c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d5b0a9-60f0-4792-a12a-cf1f4822f8f3}" ma:internalName="TaxCatchAll" ma:showField="CatchAllData" ma:web="c275eca4-2b57-46c1-873e-024541665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86eac4-90fc-4ec0-aad7-f55326d5e354">
      <Terms xmlns="http://schemas.microsoft.com/office/infopath/2007/PartnerControls"/>
    </lcf76f155ced4ddcb4097134ff3c332f>
    <TaxCatchAll xmlns="c275eca4-2b57-46c1-873e-024541665c05" xsi:nil="true"/>
  </documentManagement>
</p:properties>
</file>

<file path=customXml/itemProps1.xml><?xml version="1.0" encoding="utf-8"?>
<ds:datastoreItem xmlns:ds="http://schemas.openxmlformats.org/officeDocument/2006/customXml" ds:itemID="{4F63AC93-6E19-4183-80AB-C9CBA5F56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86eac4-90fc-4ec0-aad7-f55326d5e354"/>
    <ds:schemaRef ds:uri="c275eca4-2b57-46c1-873e-024541665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D66C7F-782B-4C98-942C-FE11CC027DFE}">
  <ds:schemaRefs>
    <ds:schemaRef ds:uri="http://schemas.microsoft.com/sharepoint/v3/contenttype/forms"/>
  </ds:schemaRefs>
</ds:datastoreItem>
</file>

<file path=customXml/itemProps3.xml><?xml version="1.0" encoding="utf-8"?>
<ds:datastoreItem xmlns:ds="http://schemas.openxmlformats.org/officeDocument/2006/customXml" ds:itemID="{ACEB5C8B-5D7F-4352-8D91-E6202D948E7D}">
  <ds:schemaRefs>
    <ds:schemaRef ds:uri="http://schemas.microsoft.com/office/2006/metadata/properties"/>
    <ds:schemaRef ds:uri="http://schemas.microsoft.com/office/infopath/2007/PartnerControls"/>
    <ds:schemaRef ds:uri="9886eac4-90fc-4ec0-aad7-f55326d5e354"/>
    <ds:schemaRef ds:uri="c275eca4-2b57-46c1-873e-024541665c0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Grunddaten</vt:lpstr>
      <vt:lpstr>Rechenblatt</vt:lpstr>
      <vt:lpstr>Leistungszahlen-Tabelle</vt:lpstr>
      <vt:lpstr>KAT</vt:lpstr>
      <vt:lpstr>KATALT</vt:lpstr>
      <vt:lpstr>Kategorie</vt:lpstr>
    </vt:vector>
  </TitlesOfParts>
  <Company>BVÖ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stieber</dc:creator>
  <cp:lastModifiedBy>Martin Stieber</cp:lastModifiedBy>
  <cp:lastPrinted>2014-09-26T07:25:19Z</cp:lastPrinted>
  <dcterms:created xsi:type="dcterms:W3CDTF">2014-01-20T08:37:53Z</dcterms:created>
  <dcterms:modified xsi:type="dcterms:W3CDTF">2026-05-06T15:29:17Z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0x010100902729D3A3AF5B4A899E101F08FF93C7</vt:lpwstr>
  </property>
  <property fmtid="{D5CDD505-2E9C-101B-9397-08002B2CF9AE}" pid="3" name="Order">
    <vt:r8>639600</vt:r8>
  </property>
  <property fmtid="{D5CDD505-2E9C-101B-9397-08002B2CF9AE}" pid="4" name="MediaServiceImageTags">
    <vt:lpwstr/>
  </property>
</Properties>
</file>